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4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lte/Google Drive/Venture Capital/Case 5 - ZipFit/"/>
    </mc:Choice>
  </mc:AlternateContent>
  <bookViews>
    <workbookView xWindow="0" yWindow="460" windowWidth="25600" windowHeight="15460" tabRatio="500" firstSheet="1" activeTab="6"/>
  </bookViews>
  <sheets>
    <sheet name="Assumptions - eCommerce" sheetId="4" r:id="rId1"/>
    <sheet name="Unit Model - eCommerce" sheetId="2" r:id="rId2"/>
    <sheet name="Assumptions - Store" sheetId="5" r:id="rId3"/>
    <sheet name="Unit Model - Store" sheetId="3" r:id="rId4"/>
    <sheet name="Rollout" sheetId="7" r:id="rId5"/>
    <sheet name="Rollup" sheetId="6" r:id="rId6"/>
    <sheet name="Valuation" sheetId="11" r:id="rId7"/>
    <sheet name="Comparables" sheetId="8" r:id="rId8"/>
    <sheet name="Outside Impact" sheetId="9" r:id="rId9"/>
    <sheet name="Pros cons of conv." sheetId="10" r:id="rId10"/>
    <sheet name="Tabelle1" sheetId="12" r:id="rId11"/>
  </sheets>
  <externalReferences>
    <externalReference r:id="rId12"/>
    <externalReference r:id="rId13"/>
    <externalReference r:id="rId14"/>
    <externalReference r:id="rId15"/>
  </externalReferences>
  <definedNames>
    <definedName name="BDS_WM_US_SARD_Items_All" localSheetId="0">'[1]#REF'!#REF!</definedName>
    <definedName name="BDS_WM_US_SARD_Items_All" localSheetId="2">'[1]#REF'!#REF!</definedName>
    <definedName name="BDS_WM_US_SARD_Items_All" localSheetId="7">'[1]#REF'!#REF!</definedName>
    <definedName name="BDS_WM_US_SARD_Items_All" localSheetId="4">'[1]#REF'!#REF!</definedName>
    <definedName name="BDS_WM_US_SARD_Items_All" localSheetId="5">'[1]#REF'!#REF!</definedName>
    <definedName name="BDS_WM_US_SARD_Items_All" localSheetId="1">'[1]#REF'!#REF!</definedName>
    <definedName name="BDS_WM_US_SARD_Items_All">'[1]#REF'!#REF!</definedName>
    <definedName name="_xlnm.Print_Area" localSheetId="0">'Assumptions - eCommerce'!$D$7:$AN$97,'Assumptions - eCommerce'!$D$99:$F$130</definedName>
    <definedName name="_xlnm.Print_Area" localSheetId="2">'Assumptions - Store'!$D$7:$AN$86,'Assumptions - Store'!$D$88:$F$119</definedName>
    <definedName name="_xlnm.Print_Area" localSheetId="7">Comparables!$D$7:$S$29</definedName>
    <definedName name="_xlnm.Print_Area" localSheetId="4">Rollout!$D$7:$Q$56,Rollout!$D$59:$Q$115,Rollout!$D$118:$Q$169</definedName>
    <definedName name="_xlnm.Print_Area" localSheetId="5">Rollup!$D$7:$S$28,Rollup!$D$31:$S$67</definedName>
    <definedName name="_xlnm.Print_Area" localSheetId="1">'Unit Model - eCommerce'!$D$7:$P$34,'Unit Model - eCommerce'!$D$36:$P$55</definedName>
    <definedName name="_xlnm.Print_Area" localSheetId="3">'Unit Model - Store'!$D$7:$P$33,'Unit Model - Store'!$D$35:$P$54</definedName>
    <definedName name="_xlnm.Print_Titles" localSheetId="0">'Assumptions - eCommerce'!$3:$6</definedName>
    <definedName name="_xlnm.Print_Titles" localSheetId="2">'Assumptions - Store'!$3:$6</definedName>
    <definedName name="_xlnm.Print_Titles" localSheetId="7">Comparables!$3:$6</definedName>
    <definedName name="_xlnm.Print_Titles" localSheetId="4">Rollout!$3:$6</definedName>
    <definedName name="_xlnm.Print_Titles" localSheetId="5">Rollup!$3:$6</definedName>
    <definedName name="_xlnm.Print_Titles" localSheetId="1">'Unit Model - eCommerce'!$3:$6</definedName>
    <definedName name="_xlnm.Print_Titles" localSheetId="3">'Unit Model - Store'!$3:$6</definedName>
    <definedName name="ProjName" localSheetId="0">'[2]Control Panel'!$D$7</definedName>
    <definedName name="ProjName" localSheetId="2">'[2]Control Panel'!$D$7</definedName>
    <definedName name="ProjName" localSheetId="7">'[3]Control Panel'!$D$7</definedName>
    <definedName name="ProjName" localSheetId="4">'[2]Control Panel'!$D$7</definedName>
    <definedName name="ProjName" localSheetId="5">'[2]Control Panel'!$D$7</definedName>
    <definedName name="ProjName" localSheetId="1">'[2]Control Panel'!$D$7</definedName>
    <definedName name="ProjName" localSheetId="3">'[2]Control Panel'!$D$7</definedName>
    <definedName name="ProjName">'[2]Control Panel'!$D$7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37" i="6" l="1"/>
  <c r="C61" i="11"/>
  <c r="F13" i="8"/>
  <c r="H13" i="8"/>
  <c r="J13" i="8"/>
  <c r="N13" i="8"/>
  <c r="F14" i="8"/>
  <c r="H14" i="8"/>
  <c r="J14" i="8"/>
  <c r="N14" i="8"/>
  <c r="F15" i="8"/>
  <c r="H15" i="8"/>
  <c r="J15" i="8"/>
  <c r="N15" i="8"/>
  <c r="F16" i="8"/>
  <c r="H16" i="8"/>
  <c r="J16" i="8"/>
  <c r="N16" i="8"/>
  <c r="F17" i="8"/>
  <c r="H17" i="8"/>
  <c r="J17" i="8"/>
  <c r="N17" i="8"/>
  <c r="F18" i="8"/>
  <c r="H18" i="8"/>
  <c r="J18" i="8"/>
  <c r="N18" i="8"/>
  <c r="F19" i="8"/>
  <c r="H19" i="8"/>
  <c r="J19" i="8"/>
  <c r="N19" i="8"/>
  <c r="F20" i="8"/>
  <c r="H20" i="8"/>
  <c r="J20" i="8"/>
  <c r="N20" i="8"/>
  <c r="F21" i="8"/>
  <c r="H21" i="8"/>
  <c r="J21" i="8"/>
  <c r="N21" i="8"/>
  <c r="N24" i="8"/>
  <c r="D62" i="11"/>
  <c r="D65" i="11"/>
  <c r="D71" i="11"/>
  <c r="D73" i="11"/>
  <c r="P39" i="6"/>
  <c r="I13" i="6"/>
  <c r="J13" i="6"/>
  <c r="K13" i="6"/>
  <c r="L13" i="6"/>
  <c r="M13" i="6"/>
  <c r="N13" i="6"/>
  <c r="O13" i="6"/>
  <c r="P13" i="6"/>
  <c r="P43" i="6"/>
  <c r="I16" i="6"/>
  <c r="J16" i="6"/>
  <c r="K16" i="6"/>
  <c r="L16" i="6"/>
  <c r="M16" i="6"/>
  <c r="N16" i="6"/>
  <c r="O16" i="6"/>
  <c r="P16" i="6"/>
  <c r="P44" i="6"/>
  <c r="I17" i="6"/>
  <c r="J17" i="6"/>
  <c r="K17" i="6"/>
  <c r="L17" i="6"/>
  <c r="M17" i="6"/>
  <c r="N17" i="6"/>
  <c r="O17" i="6"/>
  <c r="P17" i="6"/>
  <c r="P45" i="6"/>
  <c r="J18" i="6"/>
  <c r="K18" i="6"/>
  <c r="L18" i="6"/>
  <c r="M18" i="6"/>
  <c r="N18" i="6"/>
  <c r="O18" i="6"/>
  <c r="P18" i="6"/>
  <c r="P46" i="6"/>
  <c r="I19" i="6"/>
  <c r="J19" i="6"/>
  <c r="K19" i="6"/>
  <c r="L19" i="6"/>
  <c r="M19" i="6"/>
  <c r="N19" i="6"/>
  <c r="O19" i="6"/>
  <c r="P19" i="6"/>
  <c r="P47" i="6"/>
  <c r="P48" i="6"/>
  <c r="P22" i="6"/>
  <c r="P24" i="6"/>
  <c r="P49" i="6"/>
  <c r="P50" i="6"/>
  <c r="P51" i="6"/>
  <c r="P53" i="6"/>
  <c r="C60" i="11"/>
  <c r="K13" i="8"/>
  <c r="O13" i="8"/>
  <c r="K14" i="8"/>
  <c r="O14" i="8"/>
  <c r="K15" i="8"/>
  <c r="O15" i="8"/>
  <c r="K16" i="8"/>
  <c r="O16" i="8"/>
  <c r="K17" i="8"/>
  <c r="O17" i="8"/>
  <c r="K18" i="8"/>
  <c r="O18" i="8"/>
  <c r="K19" i="8"/>
  <c r="O19" i="8"/>
  <c r="K20" i="8"/>
  <c r="O20" i="8"/>
  <c r="K21" i="8"/>
  <c r="O21" i="8"/>
  <c r="O24" i="8"/>
  <c r="E62" i="11"/>
  <c r="E64" i="11"/>
  <c r="E71" i="11"/>
  <c r="E73" i="11"/>
  <c r="D74" i="11"/>
  <c r="E74" i="11"/>
  <c r="D75" i="11"/>
  <c r="E75" i="11"/>
  <c r="D76" i="11"/>
  <c r="E76" i="11"/>
  <c r="D77" i="11"/>
  <c r="E77" i="11"/>
  <c r="D78" i="11"/>
  <c r="E78" i="11"/>
  <c r="D79" i="11"/>
  <c r="E79" i="11"/>
  <c r="E72" i="11"/>
  <c r="D72" i="11"/>
  <c r="D37" i="11"/>
  <c r="E42" i="11"/>
  <c r="N24" i="11"/>
  <c r="G66" i="6"/>
  <c r="E11" i="11"/>
  <c r="D20" i="11"/>
  <c r="E12" i="11"/>
  <c r="H66" i="6"/>
  <c r="F11" i="11"/>
  <c r="F12" i="11"/>
  <c r="I66" i="6"/>
  <c r="G11" i="11"/>
  <c r="G12" i="11"/>
  <c r="J66" i="6"/>
  <c r="H11" i="11"/>
  <c r="H12" i="11"/>
  <c r="K66" i="6"/>
  <c r="I11" i="11"/>
  <c r="I12" i="11"/>
  <c r="L66" i="6"/>
  <c r="J11" i="11"/>
  <c r="J12" i="11"/>
  <c r="M66" i="6"/>
  <c r="K11" i="11"/>
  <c r="K12" i="11"/>
  <c r="N39" i="6"/>
  <c r="N43" i="6"/>
  <c r="N44" i="6"/>
  <c r="N45" i="6"/>
  <c r="N46" i="6"/>
  <c r="N47" i="6"/>
  <c r="N48" i="6"/>
  <c r="N37" i="6"/>
  <c r="N22" i="6"/>
  <c r="N24" i="6"/>
  <c r="N49" i="6"/>
  <c r="N50" i="6"/>
  <c r="N51" i="6"/>
  <c r="N53" i="6"/>
  <c r="N55" i="6"/>
  <c r="N56" i="6"/>
  <c r="N58" i="6"/>
  <c r="N59" i="6"/>
  <c r="N62" i="6"/>
  <c r="N63" i="6"/>
  <c r="N64" i="6"/>
  <c r="N65" i="6"/>
  <c r="N66" i="6"/>
  <c r="L11" i="11"/>
  <c r="L12" i="11"/>
  <c r="O39" i="6"/>
  <c r="O43" i="6"/>
  <c r="O44" i="6"/>
  <c r="O45" i="6"/>
  <c r="O46" i="6"/>
  <c r="O47" i="6"/>
  <c r="O48" i="6"/>
  <c r="O37" i="6"/>
  <c r="O22" i="6"/>
  <c r="O24" i="6"/>
  <c r="O49" i="6"/>
  <c r="O50" i="6"/>
  <c r="O51" i="6"/>
  <c r="O53" i="6"/>
  <c r="O55" i="6"/>
  <c r="O56" i="6"/>
  <c r="O58" i="6"/>
  <c r="O59" i="6"/>
  <c r="O62" i="6"/>
  <c r="O63" i="6"/>
  <c r="O64" i="6"/>
  <c r="O65" i="6"/>
  <c r="O66" i="6"/>
  <c r="M11" i="11"/>
  <c r="M12" i="11"/>
  <c r="P55" i="6"/>
  <c r="P56" i="6"/>
  <c r="P58" i="6"/>
  <c r="P59" i="6"/>
  <c r="P62" i="6"/>
  <c r="P63" i="6"/>
  <c r="P64" i="6"/>
  <c r="P65" i="6"/>
  <c r="P66" i="6"/>
  <c r="N11" i="11"/>
  <c r="N12" i="11"/>
  <c r="O11" i="11"/>
  <c r="O12" i="11"/>
  <c r="D13" i="11"/>
  <c r="N18" i="11"/>
  <c r="N19" i="11"/>
  <c r="N20" i="11"/>
  <c r="N28" i="11"/>
  <c r="N27" i="11"/>
  <c r="N26" i="11"/>
  <c r="L18" i="11"/>
  <c r="L19" i="11"/>
  <c r="L20" i="11"/>
  <c r="L27" i="11"/>
  <c r="L24" i="11"/>
  <c r="L28" i="11"/>
  <c r="L26" i="11"/>
  <c r="J18" i="11"/>
  <c r="J19" i="11"/>
  <c r="J20" i="11"/>
  <c r="J27" i="11"/>
  <c r="J24" i="11"/>
  <c r="J28" i="11"/>
  <c r="J26" i="11"/>
  <c r="N23" i="11"/>
  <c r="L23" i="11"/>
  <c r="J23" i="11"/>
  <c r="E67" i="11"/>
  <c r="D67" i="11"/>
  <c r="D24" i="11"/>
  <c r="D35" i="11"/>
  <c r="D36" i="11"/>
  <c r="J43" i="11"/>
  <c r="J42" i="11"/>
  <c r="J41" i="11"/>
  <c r="E41" i="11"/>
  <c r="P35" i="6"/>
  <c r="P74" i="6"/>
  <c r="O35" i="6"/>
  <c r="O74" i="6"/>
  <c r="N35" i="6"/>
  <c r="N74" i="6"/>
  <c r="H73" i="6"/>
  <c r="I73" i="6"/>
  <c r="J73" i="6"/>
  <c r="K73" i="6"/>
  <c r="L73" i="6"/>
  <c r="M73" i="6"/>
  <c r="N73" i="6"/>
  <c r="O73" i="6"/>
  <c r="P73" i="6"/>
  <c r="G67" i="6"/>
  <c r="H67" i="6"/>
  <c r="I67" i="6"/>
  <c r="J67" i="6"/>
  <c r="K67" i="6"/>
  <c r="L67" i="6"/>
  <c r="M67" i="6"/>
  <c r="N67" i="6"/>
  <c r="O67" i="6"/>
  <c r="P67" i="6"/>
  <c r="E69" i="6"/>
  <c r="P57" i="6"/>
  <c r="O57" i="6"/>
  <c r="N57" i="6"/>
  <c r="M43" i="6"/>
  <c r="M44" i="6"/>
  <c r="M45" i="6"/>
  <c r="M46" i="6"/>
  <c r="M47" i="6"/>
  <c r="M48" i="6"/>
  <c r="M24" i="6"/>
  <c r="M49" i="6"/>
  <c r="I27" i="6"/>
  <c r="J27" i="6"/>
  <c r="K27" i="6"/>
  <c r="L27" i="6"/>
  <c r="M27" i="6"/>
  <c r="M50" i="6"/>
  <c r="M51" i="6"/>
  <c r="M53" i="6"/>
  <c r="M55" i="6"/>
  <c r="M56" i="6"/>
  <c r="M57" i="6"/>
  <c r="L43" i="6"/>
  <c r="L44" i="6"/>
  <c r="L45" i="6"/>
  <c r="L46" i="6"/>
  <c r="L47" i="6"/>
  <c r="L48" i="6"/>
  <c r="L24" i="6"/>
  <c r="L49" i="6"/>
  <c r="L50" i="6"/>
  <c r="L51" i="6"/>
  <c r="L53" i="6"/>
  <c r="L55" i="6"/>
  <c r="L56" i="6"/>
  <c r="L57" i="6"/>
  <c r="K43" i="6"/>
  <c r="K44" i="6"/>
  <c r="K45" i="6"/>
  <c r="K46" i="6"/>
  <c r="K47" i="6"/>
  <c r="K48" i="6"/>
  <c r="K24" i="6"/>
  <c r="K49" i="6"/>
  <c r="K50" i="6"/>
  <c r="K51" i="6"/>
  <c r="K53" i="6"/>
  <c r="K55" i="6"/>
  <c r="K56" i="6"/>
  <c r="K57" i="6"/>
  <c r="J43" i="6"/>
  <c r="J44" i="6"/>
  <c r="J45" i="6"/>
  <c r="J46" i="6"/>
  <c r="J47" i="6"/>
  <c r="J48" i="6"/>
  <c r="J24" i="6"/>
  <c r="J49" i="6"/>
  <c r="J50" i="6"/>
  <c r="J51" i="6"/>
  <c r="J53" i="6"/>
  <c r="J55" i="6"/>
  <c r="J56" i="6"/>
  <c r="J57" i="6"/>
  <c r="I43" i="6"/>
  <c r="I44" i="6"/>
  <c r="I45" i="6"/>
  <c r="I46" i="6"/>
  <c r="I47" i="6"/>
  <c r="I48" i="6"/>
  <c r="I24" i="6"/>
  <c r="I49" i="6"/>
  <c r="I50" i="6"/>
  <c r="I51" i="6"/>
  <c r="I53" i="6"/>
  <c r="I55" i="6"/>
  <c r="I56" i="6"/>
  <c r="I57" i="6"/>
  <c r="H43" i="6"/>
  <c r="H16" i="6"/>
  <c r="H44" i="6"/>
  <c r="H45" i="6"/>
  <c r="H46" i="6"/>
  <c r="H47" i="6"/>
  <c r="H48" i="6"/>
  <c r="H49" i="6"/>
  <c r="H50" i="6"/>
  <c r="H51" i="6"/>
  <c r="H53" i="6"/>
  <c r="H55" i="6"/>
  <c r="H56" i="6"/>
  <c r="H57" i="6"/>
  <c r="G43" i="6"/>
  <c r="G44" i="6"/>
  <c r="G45" i="6"/>
  <c r="G46" i="6"/>
  <c r="G47" i="6"/>
  <c r="G48" i="6"/>
  <c r="G49" i="6"/>
  <c r="G50" i="6"/>
  <c r="G51" i="6"/>
  <c r="G53" i="6"/>
  <c r="G55" i="6"/>
  <c r="G56" i="6"/>
  <c r="G57" i="6"/>
  <c r="P54" i="6"/>
  <c r="O54" i="6"/>
  <c r="N54" i="6"/>
  <c r="P29" i="6"/>
  <c r="O29" i="6"/>
  <c r="N29" i="6"/>
  <c r="P40" i="6"/>
  <c r="O40" i="6"/>
  <c r="N40" i="6"/>
  <c r="P36" i="6"/>
  <c r="O36" i="6"/>
  <c r="N36" i="6"/>
  <c r="P33" i="6"/>
  <c r="P10" i="6"/>
  <c r="O33" i="6"/>
  <c r="O10" i="6"/>
  <c r="N33" i="6"/>
  <c r="N10" i="6"/>
  <c r="L13" i="8"/>
  <c r="L14" i="8"/>
  <c r="L15" i="8"/>
  <c r="L16" i="8"/>
  <c r="L17" i="8"/>
  <c r="L18" i="8"/>
  <c r="L19" i="8"/>
  <c r="L20" i="8"/>
  <c r="L21" i="8"/>
  <c r="L24" i="8"/>
  <c r="K24" i="8"/>
  <c r="J24" i="8"/>
  <c r="H24" i="8"/>
  <c r="G24" i="8"/>
  <c r="F24" i="8"/>
  <c r="S3" i="8"/>
  <c r="G58" i="6"/>
  <c r="G59" i="6"/>
  <c r="H58" i="6"/>
  <c r="H59" i="6"/>
  <c r="E70" i="6"/>
  <c r="I58" i="6"/>
  <c r="I59" i="6"/>
  <c r="J58" i="6"/>
  <c r="J59" i="6"/>
  <c r="K58" i="6"/>
  <c r="K59" i="6"/>
  <c r="L58" i="6"/>
  <c r="L59" i="6"/>
  <c r="M58" i="6"/>
  <c r="M59" i="6"/>
  <c r="S56" i="6"/>
  <c r="M54" i="6"/>
  <c r="L54" i="6"/>
  <c r="K54" i="6"/>
  <c r="J54" i="6"/>
  <c r="I54" i="6"/>
  <c r="H54" i="6"/>
  <c r="G54" i="6"/>
  <c r="S53" i="6"/>
  <c r="M40" i="6"/>
  <c r="L40" i="6"/>
  <c r="K40" i="6"/>
  <c r="J40" i="6"/>
  <c r="I40" i="6"/>
  <c r="H40" i="6"/>
  <c r="G40" i="6"/>
  <c r="S39" i="6"/>
  <c r="S37" i="6"/>
  <c r="M35" i="6"/>
  <c r="M36" i="6"/>
  <c r="L35" i="6"/>
  <c r="L36" i="6"/>
  <c r="K35" i="6"/>
  <c r="K36" i="6"/>
  <c r="J35" i="6"/>
  <c r="J36" i="6"/>
  <c r="I35" i="6"/>
  <c r="I36" i="6"/>
  <c r="H35" i="6"/>
  <c r="H36" i="6"/>
  <c r="G35" i="6"/>
  <c r="G36" i="6"/>
  <c r="H10" i="6"/>
  <c r="I10" i="6"/>
  <c r="J10" i="6"/>
  <c r="K10" i="6"/>
  <c r="L10" i="6"/>
  <c r="M10" i="6"/>
  <c r="M33" i="6"/>
  <c r="L33" i="6"/>
  <c r="K33" i="6"/>
  <c r="J33" i="6"/>
  <c r="I33" i="6"/>
  <c r="H33" i="6"/>
  <c r="G33" i="6"/>
  <c r="F33" i="6"/>
  <c r="M29" i="6"/>
  <c r="L29" i="6"/>
  <c r="K29" i="6"/>
  <c r="J29" i="6"/>
  <c r="I29" i="6"/>
  <c r="H29" i="6"/>
  <c r="G29" i="6"/>
  <c r="F10" i="6"/>
  <c r="S3" i="6"/>
  <c r="AE117" i="5"/>
  <c r="F117" i="5"/>
  <c r="AF117" i="5"/>
  <c r="AG117" i="5"/>
  <c r="AH117" i="5"/>
  <c r="AI117" i="5"/>
  <c r="AJ117" i="5"/>
  <c r="AK117" i="5"/>
  <c r="AL117" i="5"/>
  <c r="AM117" i="5"/>
  <c r="AN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L117" i="5"/>
  <c r="K117" i="5"/>
  <c r="J117" i="5"/>
  <c r="I117" i="5"/>
  <c r="H117" i="5"/>
  <c r="G117" i="5"/>
  <c r="AF10" i="5"/>
  <c r="AG10" i="5"/>
  <c r="AH10" i="5"/>
  <c r="AI10" i="5"/>
  <c r="AJ10" i="5"/>
  <c r="AK10" i="5"/>
  <c r="AL10" i="5"/>
  <c r="AM10" i="5"/>
  <c r="AN10" i="5"/>
  <c r="AN28" i="5"/>
  <c r="AN30" i="5"/>
  <c r="AN67" i="5"/>
  <c r="AM28" i="5"/>
  <c r="AM30" i="5"/>
  <c r="AM67" i="5"/>
  <c r="AL28" i="5"/>
  <c r="AL30" i="5"/>
  <c r="AL67" i="5"/>
  <c r="AK28" i="5"/>
  <c r="AK30" i="5"/>
  <c r="AK67" i="5"/>
  <c r="AJ28" i="5"/>
  <c r="AJ30" i="5"/>
  <c r="AJ67" i="5"/>
  <c r="AI28" i="5"/>
  <c r="AI30" i="5"/>
  <c r="AI67" i="5"/>
  <c r="AH28" i="5"/>
  <c r="AH30" i="5"/>
  <c r="AH67" i="5"/>
  <c r="AG28" i="5"/>
  <c r="AG30" i="5"/>
  <c r="AG67" i="5"/>
  <c r="AF28" i="5"/>
  <c r="AF30" i="5"/>
  <c r="AF67" i="5"/>
  <c r="AE28" i="5"/>
  <c r="AE30" i="5"/>
  <c r="AE67" i="5"/>
  <c r="AC28" i="5"/>
  <c r="AC30" i="5"/>
  <c r="AC67" i="5"/>
  <c r="AD28" i="5"/>
  <c r="AD30" i="5"/>
  <c r="AD67" i="5"/>
  <c r="AB28" i="5"/>
  <c r="AB30" i="5"/>
  <c r="AB67" i="5"/>
  <c r="AA28" i="5"/>
  <c r="AA30" i="5"/>
  <c r="AA67" i="5"/>
  <c r="Z28" i="5"/>
  <c r="Z30" i="5"/>
  <c r="Z67" i="5"/>
  <c r="Y28" i="5"/>
  <c r="Y30" i="5"/>
  <c r="Y67" i="5"/>
  <c r="X28" i="5"/>
  <c r="X30" i="5"/>
  <c r="X67" i="5"/>
  <c r="W28" i="5"/>
  <c r="W30" i="5"/>
  <c r="W67" i="5"/>
  <c r="V28" i="5"/>
  <c r="V30" i="5"/>
  <c r="V67" i="5"/>
  <c r="U28" i="5"/>
  <c r="U30" i="5"/>
  <c r="U67" i="5"/>
  <c r="T28" i="5"/>
  <c r="T30" i="5"/>
  <c r="T67" i="5"/>
  <c r="S28" i="5"/>
  <c r="S30" i="5"/>
  <c r="S67" i="5"/>
  <c r="R28" i="5"/>
  <c r="R30" i="5"/>
  <c r="R67" i="5"/>
  <c r="Q28" i="5"/>
  <c r="Q30" i="5"/>
  <c r="Q67" i="5"/>
  <c r="P28" i="5"/>
  <c r="P30" i="5"/>
  <c r="P67" i="5"/>
  <c r="O28" i="5"/>
  <c r="O30" i="5"/>
  <c r="O67" i="5"/>
  <c r="N28" i="5"/>
  <c r="N30" i="5"/>
  <c r="N67" i="5"/>
  <c r="M28" i="5"/>
  <c r="M30" i="5"/>
  <c r="M67" i="5"/>
  <c r="L28" i="5"/>
  <c r="L30" i="5"/>
  <c r="L67" i="5"/>
  <c r="K28" i="5"/>
  <c r="K30" i="5"/>
  <c r="K67" i="5"/>
  <c r="J28" i="5"/>
  <c r="J30" i="5"/>
  <c r="J67" i="5"/>
  <c r="I28" i="5"/>
  <c r="I30" i="5"/>
  <c r="I67" i="5"/>
  <c r="H28" i="5"/>
  <c r="H30" i="5"/>
  <c r="H67" i="5"/>
  <c r="G28" i="5"/>
  <c r="G30" i="5"/>
  <c r="G67" i="5"/>
  <c r="AQ103" i="5"/>
  <c r="AQ102" i="5"/>
  <c r="AF91" i="5"/>
  <c r="AG91" i="5"/>
  <c r="AH91" i="5"/>
  <c r="AI91" i="5"/>
  <c r="AJ91" i="5"/>
  <c r="AK91" i="5"/>
  <c r="AL91" i="5"/>
  <c r="AM91" i="5"/>
  <c r="AN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N84" i="5"/>
  <c r="AN85" i="5"/>
  <c r="AM84" i="5"/>
  <c r="AM85" i="5"/>
  <c r="AL84" i="5"/>
  <c r="AL85" i="5"/>
  <c r="AK84" i="5"/>
  <c r="AK85" i="5"/>
  <c r="AJ84" i="5"/>
  <c r="AJ85" i="5"/>
  <c r="AI84" i="5"/>
  <c r="AI85" i="5"/>
  <c r="AH84" i="5"/>
  <c r="AH85" i="5"/>
  <c r="AE82" i="5"/>
  <c r="F81" i="5"/>
  <c r="AF82" i="5"/>
  <c r="AG82" i="5"/>
  <c r="AE83" i="5"/>
  <c r="AF83" i="5"/>
  <c r="AG83" i="5"/>
  <c r="AG85" i="5"/>
  <c r="AF85" i="5"/>
  <c r="AE85" i="5"/>
  <c r="AD82" i="5"/>
  <c r="AD83" i="5"/>
  <c r="AD85" i="5"/>
  <c r="AC82" i="5"/>
  <c r="AC83" i="5"/>
  <c r="AC85" i="5"/>
  <c r="AB82" i="5"/>
  <c r="AB83" i="5"/>
  <c r="AB85" i="5"/>
  <c r="AA82" i="5"/>
  <c r="AA83" i="5"/>
  <c r="AA85" i="5"/>
  <c r="Z82" i="5"/>
  <c r="Z83" i="5"/>
  <c r="Z85" i="5"/>
  <c r="Y82" i="5"/>
  <c r="Y83" i="5"/>
  <c r="Y85" i="5"/>
  <c r="X82" i="5"/>
  <c r="X83" i="5"/>
  <c r="X85" i="5"/>
  <c r="W82" i="5"/>
  <c r="W83" i="5"/>
  <c r="W85" i="5"/>
  <c r="V82" i="5"/>
  <c r="V83" i="5"/>
  <c r="V85" i="5"/>
  <c r="U82" i="5"/>
  <c r="U83" i="5"/>
  <c r="U85" i="5"/>
  <c r="T82" i="5"/>
  <c r="T83" i="5"/>
  <c r="T85" i="5"/>
  <c r="S82" i="5"/>
  <c r="S83" i="5"/>
  <c r="S85" i="5"/>
  <c r="R82" i="5"/>
  <c r="R83" i="5"/>
  <c r="R85" i="5"/>
  <c r="Q82" i="5"/>
  <c r="Q83" i="5"/>
  <c r="Q85" i="5"/>
  <c r="P82" i="5"/>
  <c r="P83" i="5"/>
  <c r="P85" i="5"/>
  <c r="O82" i="5"/>
  <c r="O83" i="5"/>
  <c r="O85" i="5"/>
  <c r="N82" i="5"/>
  <c r="N83" i="5"/>
  <c r="N85" i="5"/>
  <c r="M82" i="5"/>
  <c r="M83" i="5"/>
  <c r="M85" i="5"/>
  <c r="L82" i="5"/>
  <c r="L83" i="5"/>
  <c r="L85" i="5"/>
  <c r="K82" i="5"/>
  <c r="K83" i="5"/>
  <c r="K85" i="5"/>
  <c r="J82" i="5"/>
  <c r="J83" i="5"/>
  <c r="J85" i="5"/>
  <c r="I82" i="5"/>
  <c r="I83" i="5"/>
  <c r="I85" i="5"/>
  <c r="H82" i="5"/>
  <c r="H83" i="5"/>
  <c r="H85" i="5"/>
  <c r="G82" i="5"/>
  <c r="G83" i="5"/>
  <c r="G85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AP67" i="5"/>
  <c r="AN40" i="5"/>
  <c r="AN46" i="5"/>
  <c r="AN44" i="5"/>
  <c r="AN47" i="5"/>
  <c r="AM40" i="5"/>
  <c r="AM46" i="5"/>
  <c r="AM44" i="5"/>
  <c r="AM47" i="5"/>
  <c r="AL40" i="5"/>
  <c r="AL46" i="5"/>
  <c r="AL44" i="5"/>
  <c r="AL47" i="5"/>
  <c r="AK40" i="5"/>
  <c r="AK46" i="5"/>
  <c r="AK44" i="5"/>
  <c r="AK47" i="5"/>
  <c r="AJ40" i="5"/>
  <c r="AJ46" i="5"/>
  <c r="AJ44" i="5"/>
  <c r="AJ47" i="5"/>
  <c r="AI40" i="5"/>
  <c r="AI46" i="5"/>
  <c r="AI44" i="5"/>
  <c r="AI47" i="5"/>
  <c r="AH40" i="5"/>
  <c r="AH46" i="5"/>
  <c r="AH44" i="5"/>
  <c r="AH47" i="5"/>
  <c r="AG40" i="5"/>
  <c r="AG46" i="5"/>
  <c r="AG44" i="5"/>
  <c r="AG47" i="5"/>
  <c r="AF40" i="5"/>
  <c r="AF46" i="5"/>
  <c r="AF44" i="5"/>
  <c r="AF47" i="5"/>
  <c r="AE40" i="5"/>
  <c r="AE46" i="5"/>
  <c r="AE44" i="5"/>
  <c r="AE47" i="5"/>
  <c r="AX41" i="5"/>
  <c r="AE41" i="5"/>
  <c r="AF41" i="5"/>
  <c r="AG41" i="5"/>
  <c r="AH41" i="5"/>
  <c r="AI41" i="5"/>
  <c r="AJ41" i="5"/>
  <c r="AK41" i="5"/>
  <c r="AL41" i="5"/>
  <c r="AM41" i="5"/>
  <c r="AN41" i="5"/>
  <c r="AN36" i="5"/>
  <c r="AM36" i="5"/>
  <c r="AL36" i="5"/>
  <c r="AK36" i="5"/>
  <c r="AJ36" i="5"/>
  <c r="AI36" i="5"/>
  <c r="AH36" i="5"/>
  <c r="AG36" i="5"/>
  <c r="AF36" i="5"/>
  <c r="AE36" i="5"/>
  <c r="AE33" i="5"/>
  <c r="AF33" i="5"/>
  <c r="AG33" i="5"/>
  <c r="AH33" i="5"/>
  <c r="AI33" i="5"/>
  <c r="AJ33" i="5"/>
  <c r="AK33" i="5"/>
  <c r="AL33" i="5"/>
  <c r="AM33" i="5"/>
  <c r="AN33" i="5"/>
  <c r="AN35" i="5"/>
  <c r="AM35" i="5"/>
  <c r="AL35" i="5"/>
  <c r="AK35" i="5"/>
  <c r="AJ35" i="5"/>
  <c r="AI35" i="5"/>
  <c r="AH35" i="5"/>
  <c r="AG35" i="5"/>
  <c r="AF35" i="5"/>
  <c r="AE35" i="5"/>
  <c r="AE34" i="5"/>
  <c r="AF34" i="5"/>
  <c r="AG34" i="5"/>
  <c r="AH34" i="5"/>
  <c r="AI34" i="5"/>
  <c r="AJ34" i="5"/>
  <c r="AK34" i="5"/>
  <c r="AL34" i="5"/>
  <c r="AM34" i="5"/>
  <c r="AN34" i="5"/>
  <c r="AP3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N3" i="5"/>
  <c r="AF10" i="4"/>
  <c r="AG10" i="4"/>
  <c r="AH10" i="4"/>
  <c r="AI10" i="4"/>
  <c r="AJ10" i="4"/>
  <c r="AK10" i="4"/>
  <c r="AL10" i="4"/>
  <c r="AM10" i="4"/>
  <c r="AN10" i="4"/>
  <c r="AX36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N3" i="4"/>
  <c r="R12" i="2"/>
</calcChain>
</file>

<file path=xl/sharedStrings.xml><?xml version="1.0" encoding="utf-8"?>
<sst xmlns="http://schemas.openxmlformats.org/spreadsheetml/2006/main" count="928" uniqueCount="485">
  <si>
    <t>ZipFit</t>
  </si>
  <si>
    <t>(Dollars in Thousands)</t>
  </si>
  <si>
    <t>Projected</t>
  </si>
  <si>
    <t>Comments</t>
  </si>
  <si>
    <t>CEO/President</t>
  </si>
  <si>
    <t>CFO</t>
  </si>
  <si>
    <t>CTO</t>
  </si>
  <si>
    <t>CSMO</t>
  </si>
  <si>
    <t>COO</t>
  </si>
  <si>
    <t>Corporate Selling and Marketing</t>
  </si>
  <si>
    <t>National Headquarters rent and other</t>
  </si>
  <si>
    <t>Consolidated Roll-up: Income Statement</t>
  </si>
  <si>
    <t>Operational</t>
  </si>
  <si>
    <t>Revenue from Retail Stores</t>
  </si>
  <si>
    <t>Revenue from e-Commerce</t>
  </si>
  <si>
    <t>Total revenue</t>
  </si>
  <si>
    <t>CAGR =</t>
  </si>
  <si>
    <t>Unit profit contribution</t>
  </si>
  <si>
    <t>% margin</t>
  </si>
  <si>
    <t>Corporate Expenses</t>
  </si>
  <si>
    <t>Pre-opening Expenses</t>
  </si>
  <si>
    <t>Total Corporate Expenses</t>
  </si>
  <si>
    <t>EBITDA</t>
  </si>
  <si>
    <t>Depreciation</t>
  </si>
  <si>
    <t>EBIT</t>
  </si>
  <si>
    <t>Taxes</t>
  </si>
  <si>
    <t>Net income</t>
  </si>
  <si>
    <t>Free cash flow</t>
  </si>
  <si>
    <t>Capital expenditures</t>
  </si>
  <si>
    <t>Change in NWC</t>
  </si>
  <si>
    <t>Cumulative cash flow</t>
  </si>
  <si>
    <t>Peak Cash Need</t>
  </si>
  <si>
    <t>18-Month Cash Need</t>
  </si>
  <si>
    <t>Store Contribution of Overall Business</t>
  </si>
  <si>
    <t>Revenue</t>
  </si>
  <si>
    <t>Profit Contribution</t>
  </si>
  <si>
    <t>e-Commerce Business Total EBITDA&lt;$0 through Year 5</t>
  </si>
  <si>
    <t>Total Number of Stores</t>
  </si>
  <si>
    <t>Unit Model: Income Statement</t>
  </si>
  <si>
    <t>9-yr CAGR</t>
  </si>
  <si>
    <t xml:space="preserve">    Total Revenue</t>
  </si>
  <si>
    <t>Checked against Zappos = 124% for first 9 years</t>
  </si>
  <si>
    <t xml:space="preserve">    COGS</t>
  </si>
  <si>
    <t xml:space="preserve">    Gross profit</t>
  </si>
  <si>
    <t>Operating expenses</t>
  </si>
  <si>
    <t xml:space="preserve">   SGA</t>
  </si>
  <si>
    <t>Ad Expenses</t>
  </si>
  <si>
    <t xml:space="preserve">   R&amp;D</t>
  </si>
  <si>
    <t>Total Operating Expenses</t>
  </si>
  <si>
    <t xml:space="preserve">    Depreciation &amp; Amortization</t>
  </si>
  <si>
    <t xml:space="preserve">    Taxes (Corp Tax Rate)</t>
  </si>
  <si>
    <t xml:space="preserve">Memo: </t>
  </si>
  <si>
    <t>Unit Model: Cash Flow Analysis</t>
  </si>
  <si>
    <t>Unit cash flow</t>
  </si>
  <si>
    <t xml:space="preserve">    Net income</t>
  </si>
  <si>
    <t xml:space="preserve">    Depreciation</t>
  </si>
  <si>
    <t xml:space="preserve">    Capital expenditures</t>
  </si>
  <si>
    <t xml:space="preserve">    Change in Working capital</t>
  </si>
  <si>
    <t>Financing &amp; IRR</t>
  </si>
  <si>
    <t xml:space="preserve">    Initial fixed assets per unit</t>
  </si>
  <si>
    <t>5-year</t>
  </si>
  <si>
    <t>10-year</t>
  </si>
  <si>
    <t xml:space="preserve">    Initial inventory</t>
  </si>
  <si>
    <t>IRR</t>
  </si>
  <si>
    <t xml:space="preserve">    Initial accounts payable</t>
  </si>
  <si>
    <t>Cash-on-cash</t>
  </si>
  <si>
    <t xml:space="preserve">    Pre-opening expenses</t>
  </si>
  <si>
    <t xml:space="preserve">    Unit Cash flow (incl. initial investment)</t>
  </si>
  <si>
    <t>Income Statement Assumptions</t>
  </si>
  <si>
    <t>Initial</t>
  </si>
  <si>
    <t>[t]</t>
  </si>
  <si>
    <t>Revenue assumptions</t>
  </si>
  <si>
    <t>Virtual Shopper Customers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</si>
  <si>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</si>
  <si>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</si>
  <si>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</si>
  <si>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</si>
  <si>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</si>
  <si>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</si>
  <si>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</si>
  <si>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</si>
  <si>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</si>
  <si>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</si>
  <si>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</si>
  <si>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</si>
  <si>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r>
      <t xml:space="preserve"># of Customer Transactions (True Count) </t>
    </r>
    <r>
      <rPr>
        <b/>
        <sz val="10"/>
        <rFont val="Arial"/>
        <family val="2"/>
      </rPr>
      <t>[D]</t>
    </r>
  </si>
  <si>
    <r>
      <t xml:space="preserve">Monthly % Breakdown </t>
    </r>
    <r>
      <rPr>
        <i/>
        <sz val="10"/>
        <rFont val="Arial"/>
        <family val="2"/>
      </rPr>
      <t>(for 24-month build-up)</t>
    </r>
  </si>
  <si>
    <t>[1]</t>
  </si>
  <si>
    <r>
      <t xml:space="preserve">Transaction Growth </t>
    </r>
    <r>
      <rPr>
        <b/>
        <sz val="10"/>
        <rFont val="Arial"/>
        <family val="2"/>
      </rPr>
      <t>[E]</t>
    </r>
  </si>
  <si>
    <t>[2]</t>
  </si>
  <si>
    <r>
      <t xml:space="preserve">Revenue Per Customer </t>
    </r>
    <r>
      <rPr>
        <b/>
        <sz val="10"/>
        <rFont val="Arial"/>
        <family val="2"/>
      </rPr>
      <t>[F]</t>
    </r>
  </si>
  <si>
    <t>[3]</t>
  </si>
  <si>
    <r>
      <t>Revenue Per Customer Growth</t>
    </r>
    <r>
      <rPr>
        <b/>
        <sz val="10"/>
        <rFont val="Arial"/>
        <family val="2"/>
      </rPr>
      <t xml:space="preserve"> [G]</t>
    </r>
  </si>
  <si>
    <r>
      <t>Product Revenue</t>
    </r>
    <r>
      <rPr>
        <b/>
        <sz val="10"/>
        <rFont val="Arial"/>
        <family val="2"/>
      </rPr>
      <t xml:space="preserve"> [B] = [D] * [E] * ([F] + [G])^t</t>
    </r>
  </si>
  <si>
    <t>[4]</t>
  </si>
  <si>
    <t>Accessory Attach Rate</t>
  </si>
  <si>
    <t>Accessory Revenue Per Transaction</t>
  </si>
  <si>
    <t>Accossry Price Growth</t>
  </si>
  <si>
    <r>
      <t>Accessory Revenue</t>
    </r>
    <r>
      <rPr>
        <b/>
        <sz val="10"/>
        <rFont val="Arial"/>
        <family val="2"/>
      </rPr>
      <t xml:space="preserve"> [C]</t>
    </r>
  </si>
  <si>
    <t>Virtual Shopper Revenue  [A] = [B] + [C]</t>
  </si>
  <si>
    <t>Total Revenue [A]</t>
  </si>
  <si>
    <t xml:space="preserve"> = CAGR</t>
  </si>
  <si>
    <t>Sanity Check</t>
  </si>
  <si>
    <t>Total Premium Denim Sales</t>
  </si>
  <si>
    <t>Growth</t>
  </si>
  <si>
    <t>Pulled in US Number from the Euromonitor Report - Aug 2011, 27% of market is our focus sub-categories of premium and super-premium</t>
  </si>
  <si>
    <t>On-line Premium Denim Sales</t>
  </si>
  <si>
    <t>Today online = 10% and growing at 10% CAGR, Source = ?Mintel?</t>
  </si>
  <si>
    <t>Total Market Share</t>
  </si>
  <si>
    <t>On-line Market Share</t>
  </si>
  <si>
    <t>In-Store Revenue Mix</t>
  </si>
  <si>
    <t>Customer LTV Analysis</t>
  </si>
  <si>
    <t>Customer Transactions / Year</t>
  </si>
  <si>
    <t>Need research report source</t>
  </si>
  <si>
    <t>Retention Rate</t>
  </si>
  <si>
    <t>Need source</t>
  </si>
  <si>
    <t>Actual Customers (True Count)</t>
  </si>
  <si>
    <t>New Customers Added (True Count)</t>
  </si>
  <si>
    <t>Growth in Revenue / Customer</t>
  </si>
  <si>
    <t>Customer Acquisition Cost (actual amount)</t>
  </si>
  <si>
    <t>Includes both SGA &amp; Ad</t>
  </si>
  <si>
    <t>Discount Rate</t>
  </si>
  <si>
    <t>Margin</t>
  </si>
  <si>
    <t>FCF from Unit Model Tab</t>
  </si>
  <si>
    <t>LTV</t>
  </si>
  <si>
    <t>Transaction Economics (All per transaction)</t>
  </si>
  <si>
    <t>COGS</t>
  </si>
  <si>
    <t>SGA</t>
  </si>
  <si>
    <t>R&amp;D</t>
  </si>
  <si>
    <t>Ad</t>
  </si>
  <si>
    <t>Direct Expense Assumptions</t>
  </si>
  <si>
    <t>[5]</t>
  </si>
  <si>
    <t>% Cost of Jeans</t>
  </si>
  <si>
    <t>%COGS</t>
  </si>
  <si>
    <t>Cost of Jeans [Y1]</t>
  </si>
  <si>
    <r>
      <t xml:space="preserve">Cost of Accessories </t>
    </r>
    <r>
      <rPr>
        <b/>
        <sz val="10"/>
        <rFont val="Arial"/>
        <family val="2"/>
      </rPr>
      <t>[Y2]</t>
    </r>
  </si>
  <si>
    <t>% of Sales</t>
  </si>
  <si>
    <t>Shipment Build-Up</t>
  </si>
  <si>
    <r>
      <t xml:space="preserve"># of Transactions Shipped (True Count) </t>
    </r>
    <r>
      <rPr>
        <b/>
        <sz val="10"/>
        <rFont val="Arial"/>
        <family val="2"/>
      </rPr>
      <t>[D]</t>
    </r>
  </si>
  <si>
    <t>[6]</t>
  </si>
  <si>
    <r>
      <t xml:space="preserve">Processing Costs (Per order shipped) </t>
    </r>
    <r>
      <rPr>
        <b/>
        <sz val="10"/>
        <rFont val="Arial"/>
        <family val="2"/>
      </rPr>
      <t>[I]</t>
    </r>
  </si>
  <si>
    <t>[7]</t>
  </si>
  <si>
    <r>
      <t xml:space="preserve">Per Shipment Cost </t>
    </r>
    <r>
      <rPr>
        <b/>
        <sz val="10"/>
        <rFont val="Arial"/>
        <family val="2"/>
      </rPr>
      <t>[J]</t>
    </r>
  </si>
  <si>
    <t>Per Ship</t>
  </si>
  <si>
    <t>Shipping + Processing Costs [H] = ( [I] + [J] ) * [D]</t>
  </si>
  <si>
    <t>[8]</t>
  </si>
  <si>
    <r>
      <t xml:space="preserve">% of Customer Altered </t>
    </r>
    <r>
      <rPr>
        <b/>
        <sz val="10"/>
        <rFont val="Arial"/>
        <family val="2"/>
      </rPr>
      <t>[L]</t>
    </r>
  </si>
  <si>
    <r>
      <t xml:space="preserve"># of Transactions Altered (True Count) </t>
    </r>
    <r>
      <rPr>
        <b/>
        <sz val="10"/>
        <rFont val="Arial"/>
        <family val="2"/>
      </rPr>
      <t>[K] = [D] * [L]</t>
    </r>
  </si>
  <si>
    <t>[9]</t>
  </si>
  <si>
    <t>Altertation Costs [X]</t>
  </si>
  <si>
    <t>Per Order</t>
  </si>
  <si>
    <t>Return Build-Up</t>
  </si>
  <si>
    <t>[10]</t>
  </si>
  <si>
    <r>
      <t xml:space="preserve">Returns (all revenue, net of resales) </t>
    </r>
    <r>
      <rPr>
        <b/>
        <sz val="10"/>
        <rFont val="Arial"/>
        <family val="2"/>
      </rPr>
      <t>[R]</t>
    </r>
  </si>
  <si>
    <t>[11]</t>
  </si>
  <si>
    <r>
      <t xml:space="preserve">Return Resales </t>
    </r>
    <r>
      <rPr>
        <b/>
        <sz val="10"/>
        <rFont val="Arial"/>
        <family val="2"/>
      </rPr>
      <t>[S]</t>
    </r>
  </si>
  <si>
    <r>
      <t xml:space="preserve">Net Return Value </t>
    </r>
    <r>
      <rPr>
        <b/>
        <sz val="10"/>
        <rFont val="Arial"/>
        <family val="2"/>
      </rPr>
      <t>[N] = [A] * [R] * ( 1 - [S] )</t>
    </r>
  </si>
  <si>
    <r>
      <t xml:space="preserve"># Shipments Tied to Returns </t>
    </r>
    <r>
      <rPr>
        <b/>
        <sz val="10"/>
        <rFont val="Arial"/>
        <family val="2"/>
      </rPr>
      <t xml:space="preserve"> [Q] = ( [D]*[R] )+( [D]*[R]*[S] )</t>
    </r>
  </si>
  <si>
    <r>
      <t xml:space="preserve">Return Shipment Costs </t>
    </r>
    <r>
      <rPr>
        <b/>
        <sz val="10"/>
        <rFont val="Arial"/>
        <family val="2"/>
      </rPr>
      <t>[P] = [Q] * [J]</t>
    </r>
  </si>
  <si>
    <t>Total Return Costs [M] = [N] + [P]</t>
  </si>
  <si>
    <t>Total COGS [Z] = [Y1] + [Y2] + [H] + [X] + [M]</t>
  </si>
  <si>
    <t>SG&amp;A</t>
  </si>
  <si>
    <t>[12]</t>
  </si>
  <si>
    <t>Server Costs (monthly)</t>
  </si>
  <si>
    <t>[13]</t>
  </si>
  <si>
    <t>Merchant fees (On-line)</t>
  </si>
  <si>
    <t>[14]</t>
  </si>
  <si>
    <t>Encryption fees (On-line)</t>
  </si>
  <si>
    <t>[15]</t>
  </si>
  <si>
    <t>Marketing Manager</t>
  </si>
  <si>
    <t>[16]</t>
  </si>
  <si>
    <t>Warehouse</t>
  </si>
  <si>
    <t>[17]</t>
  </si>
  <si>
    <t>Call Center Costs</t>
  </si>
  <si>
    <t>% Requiring Support</t>
  </si>
  <si>
    <t>Minutes Per Call</t>
  </si>
  <si>
    <t>Price Per Minute</t>
  </si>
  <si>
    <t>Operations Manager</t>
  </si>
  <si>
    <t>Logistics Manager</t>
  </si>
  <si>
    <t>[18]</t>
  </si>
  <si>
    <t xml:space="preserve">      On-Going % of Sales</t>
  </si>
  <si>
    <t>SG&amp;A Expense</t>
  </si>
  <si>
    <t>Ad Build-Up</t>
  </si>
  <si>
    <t>Expense</t>
  </si>
  <si>
    <t>Growth Factor</t>
  </si>
  <si>
    <t>Ad Expense - Media (Online/Print)</t>
  </si>
  <si>
    <t>[19]</t>
  </si>
  <si>
    <t>Steady State % of Sales</t>
  </si>
  <si>
    <t>Ad Expense</t>
  </si>
  <si>
    <t>R&amp;D Expense</t>
  </si>
  <si>
    <t>Initial Build-Up</t>
  </si>
  <si>
    <t>[20]</t>
  </si>
  <si>
    <t>On-Going R&amp;D (of Virtual Revenue)</t>
  </si>
  <si>
    <t>Total  R&amp;D</t>
  </si>
  <si>
    <t>Cash Flow Assumptions</t>
  </si>
  <si>
    <t>Cash flow assumptions</t>
  </si>
  <si>
    <t>Assumption</t>
  </si>
  <si>
    <t>Total Revenue</t>
  </si>
  <si>
    <t>Accounts receivable</t>
  </si>
  <si>
    <t xml:space="preserve">    Collection days (Source: Zappos)</t>
  </si>
  <si>
    <t xml:space="preserve">    % of revenue</t>
  </si>
  <si>
    <t>Unit COGS</t>
  </si>
  <si>
    <t>Inventory</t>
  </si>
  <si>
    <t xml:space="preserve">    Inventory turnover (Source: Amazon)</t>
  </si>
  <si>
    <t>Accounts payable</t>
  </si>
  <si>
    <t xml:space="preserve">    Days payable (Source: Analog aggregation)</t>
  </si>
  <si>
    <t>Net working capital</t>
  </si>
  <si>
    <t xml:space="preserve">   change in NWC</t>
  </si>
  <si>
    <t>Fixed assets</t>
  </si>
  <si>
    <t>Beginning balance</t>
  </si>
  <si>
    <t>[21]</t>
  </si>
  <si>
    <t xml:space="preserve">    Additions: Maintenance capital expenditures</t>
  </si>
  <si>
    <t xml:space="preserve">    Subtractions: Depreciation</t>
  </si>
  <si>
    <t>Ending balance</t>
  </si>
  <si>
    <t>[22]</t>
  </si>
  <si>
    <t>Depreciation life</t>
  </si>
  <si>
    <t>For Revenue Section</t>
  </si>
  <si>
    <t>Rationale:</t>
  </si>
  <si>
    <t>Source</t>
  </si>
  <si>
    <t>Stead-State Growth - On-line sales growing at 10%</t>
  </si>
  <si>
    <t>Mintel Report</t>
  </si>
  <si>
    <t>Median of target denim brands and fits</t>
  </si>
  <si>
    <t>See Retailer build-up tab</t>
  </si>
  <si>
    <t>Option to growth per customer revenue over time at a rate of inflation</t>
  </si>
  <si>
    <t>Inflation</t>
  </si>
  <si>
    <t>Build-up provision for accessory sales, but set to zero for now</t>
  </si>
  <si>
    <t>See Liz file for retailer build-up</t>
  </si>
  <si>
    <t>For COGS Section</t>
  </si>
  <si>
    <t>Average cost of goods sold expected to be 46% for jeans</t>
  </si>
  <si>
    <t>Buffalo Jeans - "core cuts" program</t>
  </si>
  <si>
    <t>Sears existing cost in steady-state, with an expected efficiency schedule</t>
  </si>
  <si>
    <t>Our advisor, Andy Coleman</t>
  </si>
  <si>
    <t>2nd day shipment costs, expected efficiencies as we scale up.</t>
  </si>
  <si>
    <t>UPS.com</t>
  </si>
  <si>
    <t>US population deviation to mean height, where shorter length required implies 90%. Our initial 1,000 clients suggest 74%</t>
  </si>
  <si>
    <t>US Census Data, ZFM fit finder data</t>
  </si>
  <si>
    <t>$7/pair of jeans that require alterations</t>
  </si>
  <si>
    <t>Instichtute owner quotation</t>
  </si>
  <si>
    <t>Sears has 20% of their sales returned in damaged goods, total on-line fashion is 40%. We eliminate the "fit" portion. Buffalo reported 60% returns in Q2'12</t>
  </si>
  <si>
    <t>Our advisor Andy Coleman, Regional Buffalo sales representative</t>
  </si>
  <si>
    <t>Sears writes off the above 20%, we expect to resell product via secondary market (AMZN/EBAY)</t>
  </si>
  <si>
    <t>$100/month service in Yr1, $700 in Yr2, owned in Yr 3 via capex expenditures</t>
  </si>
  <si>
    <t xml:space="preserve">CTO Seth Pychewicz </t>
  </si>
  <si>
    <t>Standard industry costs for retail processing costs</t>
  </si>
  <si>
    <t>Braintree</t>
  </si>
  <si>
    <t>Encryption fee of $.20/transaction</t>
  </si>
  <si>
    <t>Liz email for Fee Fighters</t>
  </si>
  <si>
    <t>Annualized salary for marketing, operations, logistics managers, found via salary.com</t>
  </si>
  <si>
    <t>Pulled from Investment tab</t>
  </si>
  <si>
    <t>Growth at rate of revenue ramp from Yr1-3</t>
  </si>
  <si>
    <t>DTNB Ventures</t>
  </si>
  <si>
    <t>Requires an NRE for setup + per-minute charge, noted for non-dedicated service reps</t>
  </si>
  <si>
    <t>Synergy Solutions primary research</t>
  </si>
  <si>
    <t>Re-apply from Investments tab for Yr1. Flat growth from Yr2 to smooth out</t>
  </si>
  <si>
    <t>Analog median of brick &amp; mortar + e-tailers</t>
  </si>
  <si>
    <t>Analog aggregation tab</t>
  </si>
  <si>
    <t>Zappos R&amp;D  (lowest in Analogs)</t>
  </si>
  <si>
    <t>Analog sources for CapEx</t>
  </si>
  <si>
    <t>physical presence, servers, technology for depreciation life</t>
  </si>
  <si>
    <t>Our company accountant</t>
  </si>
  <si>
    <t>Retail Store Customers</t>
  </si>
  <si>
    <r>
      <t>Daily # of Jeans Sold</t>
    </r>
    <r>
      <rPr>
        <b/>
        <sz val="10"/>
        <rFont val="Arial"/>
        <family val="2"/>
      </rPr>
      <t xml:space="preserve"> [A1]</t>
    </r>
  </si>
  <si>
    <t>Growth Per Period</t>
  </si>
  <si>
    <t>Retail Square Footage</t>
  </si>
  <si>
    <t>Revenue Per Square Foot (Sanity Check)</t>
  </si>
  <si>
    <t>Months open in First Year</t>
  </si>
  <si>
    <t>***Don’t Delete This Row****</t>
  </si>
  <si>
    <t>Monthly % Breakdown (in 24-month)</t>
  </si>
  <si>
    <t>Days Open</t>
  </si>
  <si>
    <r>
      <t>Jeans ASP</t>
    </r>
    <r>
      <rPr>
        <b/>
        <sz val="10"/>
        <rFont val="Arial"/>
        <family val="2"/>
      </rPr>
      <t xml:space="preserve"> [B1]</t>
    </r>
  </si>
  <si>
    <t>Jeans ASP Growth</t>
  </si>
  <si>
    <t>Jeans Revenue [E] = [A1] * [B1] * 360</t>
  </si>
  <si>
    <r>
      <t xml:space="preserve"># of Customers (True Count) </t>
    </r>
    <r>
      <rPr>
        <b/>
        <sz val="10"/>
        <rFont val="Arial"/>
        <family val="2"/>
      </rPr>
      <t>[F]</t>
    </r>
  </si>
  <si>
    <r>
      <t>Accessory Attach Rate</t>
    </r>
    <r>
      <rPr>
        <b/>
        <sz val="10"/>
        <rFont val="Arial"/>
        <family val="2"/>
      </rPr>
      <t xml:space="preserve"> [A2]</t>
    </r>
  </si>
  <si>
    <r>
      <t>Accessory Revenue Per Transaction</t>
    </r>
    <r>
      <rPr>
        <b/>
        <sz val="10"/>
        <rFont val="Arial"/>
        <family val="2"/>
      </rPr>
      <t xml:space="preserve"> [B2]</t>
    </r>
  </si>
  <si>
    <r>
      <t>Accessory Revenue</t>
    </r>
    <r>
      <rPr>
        <b/>
        <sz val="10"/>
        <rFont val="Arial"/>
        <family val="2"/>
      </rPr>
      <t xml:space="preserve"> [E2] = [F] * [A2] * [B2]</t>
    </r>
  </si>
  <si>
    <t>Retail Store Revenue [C] = [E1] + [E2]</t>
  </si>
  <si>
    <t>Total Revenue [C]</t>
  </si>
  <si>
    <t>Sales Per Square Foot</t>
  </si>
  <si>
    <t>Nordstrom daily sales for men's denim = $7,000</t>
  </si>
  <si>
    <t>Cost of Jeans [R1]</t>
  </si>
  <si>
    <r>
      <t xml:space="preserve">Cost of Accessories </t>
    </r>
    <r>
      <rPr>
        <b/>
        <sz val="10"/>
        <rFont val="Arial"/>
        <family val="2"/>
      </rPr>
      <t>[R2]</t>
    </r>
  </si>
  <si>
    <r>
      <t>% of Customer Transactions shipped</t>
    </r>
    <r>
      <rPr>
        <b/>
        <sz val="10"/>
        <rFont val="Arial"/>
        <family val="2"/>
      </rPr>
      <t xml:space="preserve"> [G]</t>
    </r>
  </si>
  <si>
    <r>
      <t xml:space="preserve"># of Transactions Shipped (True Count) </t>
    </r>
    <r>
      <rPr>
        <b/>
        <sz val="10"/>
        <rFont val="Arial"/>
        <family val="2"/>
      </rPr>
      <t>[D] = [F] * [G]</t>
    </r>
  </si>
  <si>
    <r>
      <t xml:space="preserve"># of Transactions Altered (True Count) </t>
    </r>
    <r>
      <rPr>
        <b/>
        <sz val="10"/>
        <rFont val="Arial"/>
        <family val="2"/>
      </rPr>
      <t>[K] = [F] * [L]</t>
    </r>
  </si>
  <si>
    <t>Altertation Costs [M]</t>
  </si>
  <si>
    <r>
      <t>POS System  + Merchant Fee (In-Store only)</t>
    </r>
    <r>
      <rPr>
        <b/>
        <sz val="10"/>
        <rFont val="Arial"/>
        <family val="2"/>
      </rPr>
      <t xml:space="preserve"> [N]</t>
    </r>
  </si>
  <si>
    <r>
      <t xml:space="preserve">Store Rent </t>
    </r>
    <r>
      <rPr>
        <b/>
        <sz val="10"/>
        <rFont val="Arial"/>
        <family val="2"/>
      </rPr>
      <t>[O]</t>
    </r>
  </si>
  <si>
    <t>% Sales Yr1&amp;2</t>
  </si>
  <si>
    <r>
      <t xml:space="preserve">Retail Staff </t>
    </r>
    <r>
      <rPr>
        <b/>
        <sz val="10"/>
        <rFont val="Arial"/>
        <family val="2"/>
      </rPr>
      <t>[P1]</t>
    </r>
  </si>
  <si>
    <r>
      <t xml:space="preserve">Retail Bonus Structure </t>
    </r>
    <r>
      <rPr>
        <b/>
        <sz val="10"/>
        <rFont val="Arial"/>
        <family val="2"/>
      </rPr>
      <t>[P2]</t>
    </r>
  </si>
  <si>
    <r>
      <t xml:space="preserve">Shrinkage </t>
    </r>
    <r>
      <rPr>
        <b/>
        <sz val="10"/>
        <rFont val="Arial"/>
        <family val="2"/>
      </rPr>
      <t>[Q]</t>
    </r>
  </si>
  <si>
    <t>Total COGS [S] = [R1]+[R2]+[H]+[M]+[N]+[O]+[P1]+[P2]+[Q]</t>
  </si>
  <si>
    <r>
      <t xml:space="preserve">Returns (all revenue, net of resales) </t>
    </r>
    <r>
      <rPr>
        <b/>
        <sz val="10"/>
        <rFont val="Arial"/>
        <family val="2"/>
      </rPr>
      <t>[T]</t>
    </r>
  </si>
  <si>
    <r>
      <t xml:space="preserve">Return Resales </t>
    </r>
    <r>
      <rPr>
        <b/>
        <sz val="10"/>
        <rFont val="Arial"/>
        <family val="2"/>
      </rPr>
      <t>[U]</t>
    </r>
  </si>
  <si>
    <r>
      <t xml:space="preserve">Net Return Value </t>
    </r>
    <r>
      <rPr>
        <b/>
        <sz val="10"/>
        <rFont val="Arial"/>
        <family val="2"/>
      </rPr>
      <t>[V] = [C] * [T] * ( 1 - [U] )</t>
    </r>
  </si>
  <si>
    <r>
      <t xml:space="preserve"># Shipments Tied to Returns </t>
    </r>
    <r>
      <rPr>
        <b/>
        <sz val="10"/>
        <rFont val="Arial"/>
        <family val="2"/>
      </rPr>
      <t xml:space="preserve"> [W] = ( [D]*[T] )+( [D]*[T]*[U] )</t>
    </r>
  </si>
  <si>
    <r>
      <t xml:space="preserve">Return Shipment Costs </t>
    </r>
    <r>
      <rPr>
        <b/>
        <sz val="10"/>
        <rFont val="Arial"/>
        <family val="2"/>
      </rPr>
      <t>[X] = [W] * [J]</t>
    </r>
  </si>
  <si>
    <t>Total Return Costs [Y] = [V] + [X]</t>
  </si>
  <si>
    <t>Ad Expense - CTA</t>
  </si>
  <si>
    <t>Other Analogs on Inv Turns</t>
  </si>
  <si>
    <t xml:space="preserve">    Inventory turnover (Source: Apple)</t>
  </si>
  <si>
    <t xml:space="preserve">Wal-Mart </t>
  </si>
  <si>
    <t>Apple</t>
  </si>
  <si>
    <t>Mintel report for premium denim growth</t>
  </si>
  <si>
    <t>Primary Research, Denim sales associates</t>
  </si>
  <si>
    <t>Higher sales / square foot versus department stores</t>
  </si>
  <si>
    <t>Primary research from various retail store managers</t>
  </si>
  <si>
    <t>Key metric for retail investors, Sak's = $500+….</t>
  </si>
  <si>
    <t>Various 10-Ks, WSJ</t>
  </si>
  <si>
    <t>Median of target denim brands and fits, Inflation general assumption for 3% ASP growth</t>
  </si>
  <si>
    <t>Liz File from NYC</t>
  </si>
  <si>
    <t>Provided accessory pricing list from NYC Denim conference, Attached rate through primary research</t>
  </si>
  <si>
    <t>NYC Denim vendors, Bloomingdales/Macy's/Diesel Sales associates (various)</t>
  </si>
  <si>
    <t>In-Store orders shipped assumed to be high, due to alteration %s</t>
  </si>
  <si>
    <t xml:space="preserve">Sears has 20% of their sales returned in damaged goods, total on-line fashion is 40%. We eliminate the "fit" portion. </t>
  </si>
  <si>
    <t>Buffalo jeans reported 60% returns in Q2'12 in our disussions to license the fit algorithm</t>
  </si>
  <si>
    <t>POS processing fee for credit card transactions, we are assuming 100% of revenues through credit card</t>
  </si>
  <si>
    <t>Square.com</t>
  </si>
  <si>
    <t>Contigent based contract for rent. Common place in retail for short-term. After "cross over" profit point average  is =</t>
  </si>
  <si>
    <t>Primary research with John Boots (Walton Street - commercial real estate)</t>
  </si>
  <si>
    <t>Blended cost of the various retail staff, as shown in the investment tab. Added bonus structure for achievement to sales goals</t>
  </si>
  <si>
    <t>Loss of product due to theft. 1% taken from revenue/customer, so actual product lost in +2x based on COGS</t>
  </si>
  <si>
    <t>DTNB Ventures Assumption</t>
  </si>
  <si>
    <t>Analog median of brick &amp; mortar retailers</t>
  </si>
  <si>
    <t>Growth at rate of on-line revenue ramp from Yr1-Yr2, forward spending to match acquisition goals</t>
  </si>
  <si>
    <t>physical presence, fixtures in-store for depreciation life</t>
  </si>
  <si>
    <t>Consolidated Roll-up: Assumptions</t>
  </si>
  <si>
    <t>Salary (Source: DTNB Assumptions)</t>
  </si>
  <si>
    <t>Percent annual raise</t>
  </si>
  <si>
    <t>CTO burdened in e-commerce model Yr1-2</t>
  </si>
  <si>
    <t>% of total revenue</t>
  </si>
  <si>
    <t>$150/sq ft  @ 2000 sq ft - in Chicago (cityfeet.com)</t>
  </si>
  <si>
    <t>(Source: HPV Assumption)</t>
  </si>
  <si>
    <t>Corporate SG&amp;A %</t>
    <phoneticPr fontId="0" type="noConversion"/>
  </si>
  <si>
    <t>Roll-out Schedule: Income Statement Items</t>
  </si>
  <si>
    <t>For Use in Calculating the Contribution from Just Stores</t>
  </si>
  <si>
    <t>eCommerce</t>
  </si>
  <si>
    <t>Store</t>
  </si>
  <si>
    <t>New units</t>
  </si>
  <si>
    <t>Total</t>
  </si>
  <si>
    <t>Unit Profit Contribution</t>
  </si>
  <si>
    <t>Roll-out Schedule: Fixed Asset Items</t>
  </si>
  <si>
    <t>Maintenance capex</t>
  </si>
  <si>
    <t>New Unit Capex</t>
  </si>
  <si>
    <t xml:space="preserve">    Additions: New store capex</t>
  </si>
  <si>
    <t xml:space="preserve">    Additions: Maintenance capex</t>
  </si>
  <si>
    <t>Roll-out Schedule: Working Capital Items</t>
  </si>
  <si>
    <t>ZIPFIT.ME  |  SEPTEMBER 14, 2013</t>
  </si>
  <si>
    <t>Summary of Publicly Traded Analog Valuations</t>
  </si>
  <si>
    <t>(Dollars in Millions)</t>
  </si>
  <si>
    <t>Market</t>
  </si>
  <si>
    <t>LTM</t>
  </si>
  <si>
    <t>TEV/</t>
  </si>
  <si>
    <t>Net Debt</t>
  </si>
  <si>
    <t>Cap</t>
  </si>
  <si>
    <t>TEV</t>
  </si>
  <si>
    <t>Amazon</t>
  </si>
  <si>
    <t>AMZN</t>
  </si>
  <si>
    <t>eBay</t>
  </si>
  <si>
    <t>EBAY</t>
  </si>
  <si>
    <t>Bluefly</t>
  </si>
  <si>
    <t>BFLY</t>
  </si>
  <si>
    <t>Bon-Ton</t>
  </si>
  <si>
    <t>BONT</t>
  </si>
  <si>
    <t>Nordstrom's</t>
  </si>
  <si>
    <t>JWN</t>
  </si>
  <si>
    <t>Limited Brands</t>
  </si>
  <si>
    <t>LTD</t>
  </si>
  <si>
    <t>Macy's</t>
  </si>
  <si>
    <t>M</t>
  </si>
  <si>
    <t>Sak's</t>
  </si>
  <si>
    <t>SKS</t>
  </si>
  <si>
    <t>Gap</t>
  </si>
  <si>
    <t>GPS</t>
  </si>
  <si>
    <t>Median</t>
  </si>
  <si>
    <t>O</t>
  </si>
  <si>
    <t>U</t>
  </si>
  <si>
    <t>T</t>
  </si>
  <si>
    <t>S</t>
  </si>
  <si>
    <t>I</t>
  </si>
  <si>
    <t>D</t>
  </si>
  <si>
    <t>E</t>
  </si>
  <si>
    <t>P</t>
  </si>
  <si>
    <t>A</t>
  </si>
  <si>
    <t>C</t>
  </si>
  <si>
    <t>Uncertainty</t>
  </si>
  <si>
    <t>Team</t>
  </si>
  <si>
    <t>Strategy</t>
  </si>
  <si>
    <t>Investment</t>
  </si>
  <si>
    <t>Deal</t>
  </si>
  <si>
    <t>Exit</t>
  </si>
  <si>
    <t>Component</t>
  </si>
  <si>
    <t>Idea</t>
  </si>
  <si>
    <t>Positive Value</t>
  </si>
  <si>
    <t>Acceptance</t>
  </si>
  <si>
    <t>Competition</t>
  </si>
  <si>
    <t xml:space="preserve">Time </t>
  </si>
  <si>
    <t>Speed</t>
  </si>
  <si>
    <t>- Strong team, CEO passionate about what she's doing, work experience in consulting and another start-up
- Other team members: also relevant work experience in relevant fields</t>
  </si>
  <si>
    <t>-To simplfy the process of buying jeans.</t>
  </si>
  <si>
    <t>- Simplify the jeans shopping for people that do not know their exact fit or know it exactly, but still have a hard time finding their exact model</t>
  </si>
  <si>
    <t>- High acceptance already in the beginning 
- Sales targets exceeded right from the start (also shown in 3 straight profitable months in the beginning.</t>
  </si>
  <si>
    <t xml:space="preserve">- No direct competitor with the same value proposition
- However, competition from retail is tough. </t>
  </si>
  <si>
    <t>- Good time because
- no one has come with that idea yet (no one had it in mind and saw the problem that many people had in regular denim shopping.)</t>
  </si>
  <si>
    <t xml:space="preserve"> </t>
  </si>
  <si>
    <t>- So far only $90k invested by friends &amp; family at valuation of $2m
- Difficulties in dealing with customizations (customized pairs were delivered with pretty high delay)
- next financing round coming up. Expected to raise $1.5m from that</t>
  </si>
  <si>
    <t xml:space="preserve"> later --&gt; quant part</t>
  </si>
  <si>
    <t xml:space="preserve">- Clear strategy has been established, focus on e-commerce
- Clear niche w.r.t. to clothes market: Premium segment, denim only
- clear customer base established: men from a upper scale household that currently have difficulty finding jeans
- At the time also adaptable, could expand to other segments: </t>
  </si>
  <si>
    <t>- No clear exit strategy in mind yet, given start-ups rather young age still
- Eventual IPO likely, like in any other start-up</t>
  </si>
  <si>
    <t>Description</t>
  </si>
  <si>
    <t>- crucial to be fast now
- since it has been proven that Zipfit's system works and that it has a high acceptance rate in the industry.
- If one fails to be fast now, competitors might simply adapt this approach and use it themselves.
- Can however be implemented quite quickly, since companies 'simply' needs to scale up.</t>
  </si>
  <si>
    <t>- Realistic to open 4 add. Stores in next 18 months?
- Significant collaboration with brands required. However, will these brands cooperate?
- No streamlining yet w.r.t. streamlining of financial processes (Ex. 7)
-  No marketing agency established yet that will take over the formulation of the marketing strategy</t>
  </si>
  <si>
    <t>- Market for jeans already big. $5.9bn in US
- Premium market: $1.5bn
- At the same time opportunity to enter other market, clothes market overall size: $285bn
- Online sales likely to grow still in the future (probably far more than 10% now than back in 09)</t>
  </si>
  <si>
    <t>Liz</t>
  </si>
  <si>
    <t>Pro's</t>
  </si>
  <si>
    <t>Con's</t>
  </si>
  <si>
    <t>Angels</t>
  </si>
  <si>
    <t>- Issuing common shares requires a valuation which is hard to agree on with investors especially given Zipfit's early stage.
- Common shares might result in add. Taxable income
- Valuation issue is postponend until Series A financing
- Faster (few days) and cheaper (only limited legal fees)
- No loss of control (Board seat, veto rights etc.)
- Greater flexibility: different price/ discounts for different investors</t>
  </si>
  <si>
    <t>- Faster
- Ability to negotiate, since not every investor will receive the same price (due to cap)
- if no cap used, they can get a higher share of the company in round A the lower the Series A valuation is.
Can use covenants to somewhat exercise control over company
- Liquidation preference if company is liquidated prior to Round A financing (unlikely though in this case)
- Might be possible to not convert and simply ask for principal + accrued interest if company does not develop as initially anticipated --&gt; reduces risk!</t>
  </si>
  <si>
    <t>- Valuation postponed, harder for investors to buy in at a comparably low valuation. If valuation is established later only, it will be higher either way.
- No control over company (other than through covenants): e.g. no board seat, no veto rights, no
- Long-term cap. gains treatment comes sooner with pref. equity.
- (Stripped down documents can make pref. equity cheaper too) ???</t>
  </si>
  <si>
    <t>- Ability for investor not to convert and ask for the principal and interest at maturity raises risk for Liz
- Covenants may restrict certain operative actions
- (Stripped down documents can make pref. equity cheaper too) ???
- If no cap used, there's misalignment of interests.
- Has no clue about valuation, does not really know how to value her own company. Can only rely on experts' opinions.</t>
  </si>
  <si>
    <t>Treasury bond rate</t>
  </si>
  <si>
    <t>Asset Beta</t>
  </si>
  <si>
    <t>Expected Inflation</t>
  </si>
  <si>
    <t>Free Cash Flow</t>
  </si>
  <si>
    <t>Market Risk Premium</t>
  </si>
  <si>
    <t>Discounted FCF</t>
  </si>
  <si>
    <t>Entity Value</t>
  </si>
  <si>
    <t>TV</t>
  </si>
  <si>
    <t>in '000</t>
  </si>
  <si>
    <t>Pre-money</t>
  </si>
  <si>
    <t>Post-money</t>
  </si>
  <si>
    <t>Convertibles</t>
  </si>
  <si>
    <t>Management</t>
  </si>
  <si>
    <t>EBITDA Y10</t>
  </si>
  <si>
    <t>Revenue Y10</t>
  </si>
  <si>
    <t>PV</t>
  </si>
  <si>
    <t>Assumptions</t>
  </si>
  <si>
    <t>Probability of successful scenario</t>
  </si>
  <si>
    <t>Worst Case</t>
  </si>
  <si>
    <t>Base Case</t>
  </si>
  <si>
    <t>Optimistic Case</t>
  </si>
  <si>
    <t>Entity Value DCF</t>
  </si>
  <si>
    <t>Risk adjusted pre-money valuation</t>
  </si>
  <si>
    <t>Post-money valuation (assuming capital raise of $2 m)</t>
  </si>
  <si>
    <t>Pre-money ownership structure</t>
  </si>
  <si>
    <t>1. Management</t>
  </si>
  <si>
    <t>2. Convertibles</t>
  </si>
  <si>
    <t>Post-money ownership structure</t>
  </si>
  <si>
    <t>2. Angels</t>
  </si>
  <si>
    <t>3. Convertibles</t>
  </si>
  <si>
    <t>Convertibles (after 1y of interest)</t>
  </si>
  <si>
    <t>Base Case Pre-money ownership structure</t>
  </si>
  <si>
    <t>Base Case Post-money ownership structure</t>
  </si>
  <si>
    <t>Median of Comps</t>
  </si>
  <si>
    <t>EV Y10 based on Revenue multiple</t>
  </si>
  <si>
    <t>EV Y10 based on EBITDA multiple</t>
  </si>
  <si>
    <t>PV EV revenue-multiple (discounted by 10y)</t>
  </si>
  <si>
    <t>PV EV EBITDA-multiple (discounted by 10y)</t>
  </si>
  <si>
    <t>Base Case Ownership Assumptions (in '000)</t>
  </si>
  <si>
    <t>Risk adjusted (pre-money in '000)</t>
  </si>
  <si>
    <t>Szenario Summary (based on DCF assumptions - only probability of success is altered) in '000</t>
  </si>
  <si>
    <t>DCF Method in '000</t>
  </si>
  <si>
    <t>Element</t>
  </si>
  <si>
    <t>Assessment of respective element</t>
  </si>
  <si>
    <t>Is the venture a great O(pportunity)?</t>
  </si>
  <si>
    <t xml:space="preserve">- Realistic to open 4 additional stores in next 18 months and have further collaborations with more brands?
- No streamlining yet w.r.t. financial processes (Ex. 7)
- No team member with digital marketing experience yet
- Possibility to easily copy business model </t>
  </si>
  <si>
    <t>- Driven CEO with previous experience in retail, consulting and another start-up, and strong and experienced team</t>
  </si>
  <si>
    <t>- Clear niche market: Premium segment, denim only, possibility to expand into other segments
- Clear customer base: high-income men that that currently have difficulty finding jeans (&gt; $75,000)
- Adaptable strategy, focus on both e-commerce and physical stores at the same time</t>
  </si>
  <si>
    <t>- So far only $90k invested by friends &amp; family at valuation of $2m
- Difficulties in dealing with customizations (customized pairs were delivered with pretty high delay)
- Next financing round expected to raise $1.5m, experts suggest to raise even more</t>
  </si>
  <si>
    <t>- Potentially with Angel investor who has no experience in retail/tech</t>
  </si>
  <si>
    <t>Does the opportunity have impact(s)?</t>
  </si>
  <si>
    <t>- Simplifying the process of buying jeans</t>
  </si>
  <si>
    <t>- US market for men's denim already very large: $5.9bn, ZipFits targets premium part of it (27% or $1.5bn) with jeans priced over $95
- Additionally seek more opportunities in clothes market w/ overall size of: $285bn
- Online sales likely to grow still in the future (probably far more than 10% now than back in 2009)</t>
  </si>
  <si>
    <t xml:space="preserve">- Shoppers: simplify the jeans shopping for people that do not know their exact fit or know it exactly, but still have a hard time finding their exact model
- Retailers: less returns when customers find better matches right away </t>
  </si>
  <si>
    <t>- High acceptance already in the beginning 
- Sales targets exceeded right from the start (store: first three months, revenue 30% above sales goals)</t>
  </si>
  <si>
    <t>- No direct competitor with the same value proposition, yet tough retail competition, with low margins</t>
  </si>
  <si>
    <t xml:space="preserve">- Good timing has no such venture established yet, however common problem </t>
  </si>
  <si>
    <t>- Crucial to be fast now due to Zipfit's proven working method system and high acceptance rate
- Otherwise: Competitors could simply copy the approach</t>
  </si>
  <si>
    <t>OUTSIDE - IMPACT Framework ZipFit</t>
  </si>
  <si>
    <t>VC Method (in $'000)</t>
  </si>
  <si>
    <t>Sensitivity analysis VC-method (in $'000)</t>
  </si>
  <si>
    <t>R(A)</t>
  </si>
  <si>
    <t>Growth rate Terminal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</si>
</sst>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3" formatCode="_(* #,##0.00_);_(* \(#,##0.00\);_(* &quot;-&quot;??_);_(@_)"/>
    <numFmt numFmtId="164" formatCode="&quot;$&quot;#,##0_);[Red]\(&quot;$&quot;#,##0\)"/>
    <numFmt numFmtId="165" formatCode="_(&quot;$&quot;* #,##0.00_);_(&quot;$&quot;* \(#,##0.00\);_(&quot;$&quot;* &quot;-&quot;??_);_(@_)"/>
    <numFmt numFmtId="166" formatCode="&quot;Year&quot;\ 0"/>
    <numFmt numFmtId="167" formatCode="0.0%"/>
    <numFmt numFmtId="168" formatCode="0.0%_);\(0.0%\)"/>
    <numFmt numFmtId="169" formatCode="#,##0.0\x_);\(#,##0.0\)\x;0.0\x_);@_)_x"/>
    <numFmt numFmtId="170" formatCode="#,##0_);\(#,##0\);0_);@_)"/>
    <numFmt numFmtId="171" formatCode="&quot;Assumption&quot;"/>
    <numFmt numFmtId="172" formatCode="&quot;Month&quot;\ 0"/>
    <numFmt numFmtId="173" formatCode="0.000"/>
    <numFmt numFmtId="174" formatCode="#,##0.000_);\(#,##0.000\)"/>
    <numFmt numFmtId="175" formatCode="#,##0.0"/>
    <numFmt numFmtId="176" formatCode="&quot;$&quot;#,##0"/>
    <numFmt numFmtId="177" formatCode="0_);[Red]\(0\)"/>
    <numFmt numFmtId="178" formatCode="0.0000"/>
    <numFmt numFmtId="179" formatCode="#,##0.000_);\(#,##0.000\);0.000_);@_)"/>
    <numFmt numFmtId="180" formatCode="&quot;$&quot;#,##0_);\(&quot;$&quot;#,##0\);&quot;$&quot;0_);@_)"/>
    <numFmt numFmtId="181" formatCode="#,##0.0_);\(#,##0.0\)"/>
    <numFmt numFmtId="182" formatCode="00\ &quot;days&quot;"/>
    <numFmt numFmtId="183" formatCode="0.0"/>
    <numFmt numFmtId="184" formatCode="#,##0.0_);\(#,##0.0\);0.0_);@_)"/>
    <numFmt numFmtId="185" formatCode="_(* #,##0_);_(* \(#,##0\);_(* &quot;-&quot;??_);_(@_)"/>
    <numFmt numFmtId="186" formatCode="&quot;$&quot;#,##0.00"/>
    <numFmt numFmtId="187" formatCode="&quot;$&quot;#,##0.000"/>
    <numFmt numFmtId="188" formatCode="_(&quot;$&quot;* #,##0_);_(&quot;$&quot;* \(#,##0\);_(&quot;$&quot;* &quot;-&quot;??_);_(@_)"/>
  </numFmts>
  <fonts count="59" x14ac:knownFonts="1">
    <font>
      <sz val="12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name val="Arial"/>
      <family val="2"/>
    </font>
    <font>
      <b/>
      <sz val="18"/>
      <color rgb="FF0000FF"/>
      <name val="Arial"/>
    </font>
    <font>
      <sz val="12"/>
      <color indexed="8"/>
      <name val="Arial"/>
      <family val="2"/>
    </font>
    <font>
      <b/>
      <sz val="16"/>
      <color indexed="16"/>
      <name val="Arial"/>
      <family val="2"/>
    </font>
    <font>
      <b/>
      <sz val="12"/>
      <color indexed="9"/>
      <name val="Arial"/>
      <family val="2"/>
    </font>
    <font>
      <b/>
      <sz val="14"/>
      <color indexed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singleAccounting"/>
      <sz val="8"/>
      <color indexed="8"/>
      <name val="Arial"/>
      <family val="2"/>
    </font>
    <font>
      <sz val="8"/>
      <name val="Arial"/>
      <family val="2"/>
    </font>
    <font>
      <sz val="1"/>
      <color indexed="9"/>
      <name val="Symbol"/>
      <family val="1"/>
      <charset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sz val="11"/>
      <color indexed="8"/>
      <name val="Calibri"/>
      <family val="2"/>
    </font>
    <font>
      <b/>
      <sz val="8"/>
      <color indexed="9"/>
      <name val="Verdana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10"/>
      <name val="Times New Roman"/>
      <family val="1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3"/>
      <color indexed="8"/>
      <name val="Verdana"/>
      <family val="2"/>
    </font>
    <font>
      <u val="double"/>
      <sz val="8"/>
      <color indexed="8"/>
      <name val="Arial"/>
      <family val="2"/>
    </font>
    <font>
      <b/>
      <sz val="9"/>
      <color indexed="10"/>
      <name val="Wingdings"/>
      <charset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u/>
      <sz val="10"/>
      <name val="Arial"/>
      <family val="2"/>
    </font>
    <font>
      <sz val="16"/>
      <color indexed="8"/>
      <name val="Arial"/>
      <family val="2"/>
    </font>
    <font>
      <i/>
      <sz val="12"/>
      <color indexed="8"/>
      <name val="Arial"/>
      <family val="2"/>
    </font>
    <font>
      <sz val="10"/>
      <color rgb="FF0000FF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u/>
      <sz val="10"/>
      <color indexed="12"/>
      <name val="Arial"/>
      <family val="2"/>
    </font>
    <font>
      <b/>
      <u/>
      <sz val="10"/>
      <color rgb="FF0000FF"/>
      <name val="Arial"/>
      <family val="2"/>
    </font>
    <font>
      <i/>
      <sz val="10"/>
      <color rgb="FF0033CC"/>
      <name val="Arial"/>
      <family val="2"/>
    </font>
    <font>
      <sz val="10"/>
      <color rgb="FF0033CC"/>
      <name val="Arial"/>
      <family val="2"/>
    </font>
    <font>
      <i/>
      <sz val="10"/>
      <color rgb="FFFF0000"/>
      <name val="Arial"/>
      <family val="2"/>
    </font>
    <font>
      <i/>
      <sz val="10"/>
      <color indexed="12"/>
      <name val="Arial"/>
      <family val="2"/>
    </font>
    <font>
      <i/>
      <sz val="10"/>
      <color rgb="FF0000FF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0"/>
      <name val="Arial"/>
    </font>
    <font>
      <sz val="12"/>
      <color theme="1"/>
      <name val="Times New Roman"/>
    </font>
    <font>
      <b/>
      <sz val="12"/>
      <color theme="1"/>
      <name val="Times New Roman"/>
    </font>
    <font>
      <sz val="16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darkUp">
        <fgColor theme="1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01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11" fillId="0" borderId="0" applyAlignment="0"/>
    <xf numFmtId="0" fontId="11" fillId="0" borderId="0" applyAlignment="0"/>
    <xf numFmtId="0" fontId="17" fillId="4" borderId="0" applyAlignment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9" fillId="0" borderId="0" applyAlignment="0"/>
    <xf numFmtId="0" fontId="20" fillId="5" borderId="0" applyAlignment="0"/>
    <xf numFmtId="0" fontId="21" fillId="6" borderId="0" applyAlignment="0"/>
    <xf numFmtId="0" fontId="22" fillId="0" borderId="0" applyAlignment="0"/>
    <xf numFmtId="0" fontId="18" fillId="0" borderId="0"/>
    <xf numFmtId="0" fontId="2" fillId="0" borderId="0"/>
    <xf numFmtId="0" fontId="16" fillId="0" borderId="0"/>
    <xf numFmtId="0" fontId="2" fillId="0" borderId="0">
      <alignment horizontal="right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7" borderId="0" applyAlignment="0"/>
    <xf numFmtId="0" fontId="25" fillId="0" borderId="0" applyAlignment="0"/>
    <xf numFmtId="0" fontId="26" fillId="0" borderId="0" applyAlignment="0"/>
    <xf numFmtId="0" fontId="27" fillId="0" borderId="0">
      <alignment horizontal="centerContinuous"/>
    </xf>
    <xf numFmtId="0" fontId="28" fillId="0" borderId="0" applyAlignment="0"/>
    <xf numFmtId="0" fontId="28" fillId="0" borderId="0" applyAlignment="0"/>
    <xf numFmtId="0" fontId="29" fillId="0" borderId="0" applyAlignment="0"/>
    <xf numFmtId="0" fontId="1" fillId="0" borderId="0" applyAlignment="0"/>
    <xf numFmtId="0" fontId="1" fillId="0" borderId="0" applyAlignment="0"/>
    <xf numFmtId="0" fontId="30" fillId="0" borderId="0" applyAlignment="0"/>
    <xf numFmtId="0" fontId="28" fillId="0" borderId="0" applyAlignment="0">
      <alignment wrapText="1"/>
    </xf>
    <xf numFmtId="0" fontId="28" fillId="0" borderId="0" applyAlignment="0">
      <alignment wrapText="1"/>
    </xf>
    <xf numFmtId="0" fontId="31" fillId="0" borderId="0">
      <alignment horizontal="fill"/>
    </xf>
    <xf numFmtId="0" fontId="32" fillId="8" borderId="0">
      <alignment horizontal="center"/>
    </xf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600">
    <xf numFmtId="0" fontId="0" fillId="0" borderId="0" xfId="0"/>
    <xf numFmtId="0" fontId="2" fillId="0" borderId="0" xfId="2" applyFont="1"/>
    <xf numFmtId="0" fontId="2" fillId="0" borderId="0" xfId="2" applyFont="1" applyFill="1" applyBorder="1"/>
    <xf numFmtId="0" fontId="2" fillId="0" borderId="0" xfId="2" applyFont="1" applyFill="1" applyBorder="1" applyAlignment="1">
      <alignment horizontal="right"/>
    </xf>
    <xf numFmtId="0" fontId="3" fillId="0" borderId="0" xfId="2" applyFont="1"/>
    <xf numFmtId="0" fontId="4" fillId="0" borderId="0" xfId="2" applyFont="1" applyFill="1"/>
    <xf numFmtId="0" fontId="5" fillId="0" borderId="0" xfId="2" applyFont="1" applyFill="1" applyAlignment="1">
      <alignment horizontal="right"/>
    </xf>
    <xf numFmtId="0" fontId="2" fillId="0" borderId="0" xfId="2" applyFont="1" applyAlignment="1">
      <alignment horizontal="right"/>
    </xf>
    <xf numFmtId="0" fontId="5" fillId="0" borderId="0" xfId="2" applyFont="1" applyFill="1" applyBorder="1" applyAlignment="1">
      <alignment horizontal="right"/>
    </xf>
    <xf numFmtId="0" fontId="5" fillId="2" borderId="0" xfId="2" applyFont="1" applyFill="1"/>
    <xf numFmtId="0" fontId="4" fillId="2" borderId="0" xfId="2" applyFont="1" applyFill="1"/>
    <xf numFmtId="0" fontId="6" fillId="2" borderId="0" xfId="2" applyFont="1" applyFill="1" applyAlignment="1">
      <alignment horizontal="right"/>
    </xf>
    <xf numFmtId="0" fontId="6" fillId="0" borderId="0" xfId="2" applyFont="1" applyFill="1" applyBorder="1" applyAlignment="1">
      <alignment horizontal="right"/>
    </xf>
    <xf numFmtId="0" fontId="1" fillId="0" borderId="1" xfId="2" applyFont="1" applyBorder="1"/>
    <xf numFmtId="0" fontId="1" fillId="0" borderId="0" xfId="2" applyFont="1" applyFill="1" applyBorder="1"/>
    <xf numFmtId="0" fontId="1" fillId="0" borderId="0" xfId="2" applyFont="1" applyBorder="1"/>
    <xf numFmtId="0" fontId="7" fillId="0" borderId="0" xfId="2" applyFont="1" applyFill="1"/>
    <xf numFmtId="0" fontId="2" fillId="0" borderId="0" xfId="3" applyFont="1"/>
    <xf numFmtId="0" fontId="2" fillId="0" borderId="0" xfId="3" applyFont="1" applyFill="1" applyBorder="1"/>
    <xf numFmtId="0" fontId="8" fillId="0" borderId="0" xfId="2" applyFont="1"/>
    <xf numFmtId="0" fontId="9" fillId="0" borderId="0" xfId="3" applyFont="1" applyBorder="1" applyAlignment="1">
      <alignment horizontal="center"/>
    </xf>
    <xf numFmtId="0" fontId="9" fillId="0" borderId="2" xfId="3" applyFont="1" applyBorder="1" applyAlignment="1">
      <alignment horizontal="left" indent="12"/>
    </xf>
    <xf numFmtId="0" fontId="9" fillId="0" borderId="2" xfId="3" applyFont="1" applyBorder="1" applyAlignment="1">
      <alignment horizontal="centerContinuous"/>
    </xf>
    <xf numFmtId="0" fontId="9" fillId="0" borderId="0" xfId="3" applyFont="1" applyBorder="1" applyAlignment="1">
      <alignment horizontal="centerContinuous"/>
    </xf>
    <xf numFmtId="166" fontId="9" fillId="0" borderId="3" xfId="3" applyNumberFormat="1" applyFont="1" applyBorder="1" applyAlignment="1">
      <alignment horizontal="center"/>
    </xf>
    <xf numFmtId="166" fontId="9" fillId="0" borderId="2" xfId="3" applyNumberFormat="1" applyFont="1" applyBorder="1"/>
    <xf numFmtId="0" fontId="9" fillId="0" borderId="2" xfId="2" applyFont="1" applyBorder="1"/>
    <xf numFmtId="0" fontId="2" fillId="0" borderId="2" xfId="2" applyFont="1" applyBorder="1"/>
    <xf numFmtId="0" fontId="2" fillId="0" borderId="1" xfId="2" applyFont="1" applyBorder="1"/>
    <xf numFmtId="166" fontId="2" fillId="0" borderId="0" xfId="3" applyNumberFormat="1" applyFont="1" applyBorder="1" applyAlignment="1">
      <alignment horizontal="center"/>
    </xf>
    <xf numFmtId="166" fontId="2" fillId="0" borderId="0" xfId="3" applyNumberFormat="1" applyFont="1" applyBorder="1"/>
    <xf numFmtId="0" fontId="2" fillId="0" borderId="0" xfId="3" applyFont="1" applyBorder="1" applyAlignment="1">
      <alignment horizontal="center"/>
    </xf>
    <xf numFmtId="37" fontId="2" fillId="0" borderId="0" xfId="3" applyNumberFormat="1" applyFont="1"/>
    <xf numFmtId="37" fontId="2" fillId="0" borderId="0" xfId="3" applyNumberFormat="1" applyFont="1" applyBorder="1"/>
    <xf numFmtId="0" fontId="2" fillId="0" borderId="0" xfId="3" applyFont="1" applyAlignment="1">
      <alignment horizontal="left" indent="1"/>
    </xf>
    <xf numFmtId="167" fontId="2" fillId="0" borderId="0" xfId="3" applyNumberFormat="1" applyFont="1"/>
    <xf numFmtId="0" fontId="2" fillId="0" borderId="0" xfId="2" applyFont="1" applyBorder="1"/>
    <xf numFmtId="0" fontId="12" fillId="0" borderId="0" xfId="2" applyFont="1" applyFill="1"/>
    <xf numFmtId="0" fontId="4" fillId="0" borderId="0" xfId="2" applyFont="1" applyFill="1" applyBorder="1"/>
    <xf numFmtId="0" fontId="2" fillId="0" borderId="0" xfId="3" applyFont="1" applyBorder="1"/>
    <xf numFmtId="0" fontId="9" fillId="0" borderId="0" xfId="3" applyFont="1"/>
    <xf numFmtId="166" fontId="9" fillId="0" borderId="2" xfId="3" applyNumberFormat="1" applyFont="1" applyBorder="1" applyAlignment="1">
      <alignment horizontal="center"/>
    </xf>
    <xf numFmtId="166" fontId="9" fillId="0" borderId="0" xfId="3" applyNumberFormat="1" applyFont="1" applyBorder="1" applyAlignment="1">
      <alignment horizontal="center"/>
    </xf>
    <xf numFmtId="1" fontId="2" fillId="0" borderId="0" xfId="3" applyNumberFormat="1" applyFont="1" applyBorder="1" applyAlignment="1">
      <alignment horizontal="center"/>
    </xf>
    <xf numFmtId="37" fontId="2" fillId="0" borderId="2" xfId="3" applyNumberFormat="1" applyFont="1" applyBorder="1"/>
    <xf numFmtId="9" fontId="2" fillId="0" borderId="0" xfId="1" applyNumberFormat="1" applyFont="1" applyBorder="1" applyAlignment="1">
      <alignment horizontal="left"/>
    </xf>
    <xf numFmtId="168" fontId="13" fillId="0" borderId="0" xfId="1" applyNumberFormat="1" applyFont="1"/>
    <xf numFmtId="168" fontId="8" fillId="0" borderId="0" xfId="1" applyNumberFormat="1" applyFont="1"/>
    <xf numFmtId="168" fontId="2" fillId="0" borderId="0" xfId="1" applyNumberFormat="1" applyFont="1" applyBorder="1"/>
    <xf numFmtId="1" fontId="2" fillId="0" borderId="0" xfId="3" applyNumberFormat="1" applyFont="1"/>
    <xf numFmtId="1" fontId="2" fillId="3" borderId="0" xfId="3" applyNumberFormat="1" applyFont="1" applyFill="1"/>
    <xf numFmtId="37" fontId="2" fillId="3" borderId="0" xfId="3" applyNumberFormat="1" applyFont="1" applyFill="1"/>
    <xf numFmtId="37" fontId="2" fillId="0" borderId="1" xfId="3" applyNumberFormat="1" applyFont="1" applyBorder="1"/>
    <xf numFmtId="168" fontId="10" fillId="0" borderId="4" xfId="1" applyNumberFormat="1" applyFont="1" applyBorder="1"/>
    <xf numFmtId="37" fontId="2" fillId="0" borderId="5" xfId="3" applyNumberFormat="1" applyFont="1" applyBorder="1"/>
    <xf numFmtId="0" fontId="2" fillId="0" borderId="0" xfId="3" applyFont="1" applyAlignment="1"/>
    <xf numFmtId="0" fontId="2" fillId="0" borderId="0" xfId="2" applyFont="1" applyAlignment="1"/>
    <xf numFmtId="0" fontId="2" fillId="0" borderId="6" xfId="3" applyFont="1" applyBorder="1"/>
    <xf numFmtId="37" fontId="2" fillId="0" borderId="7" xfId="3" applyNumberFormat="1" applyFont="1" applyBorder="1"/>
    <xf numFmtId="0" fontId="2" fillId="0" borderId="8" xfId="3" applyFont="1" applyBorder="1"/>
    <xf numFmtId="37" fontId="2" fillId="0" borderId="9" xfId="3" applyNumberFormat="1" applyFont="1" applyBorder="1"/>
    <xf numFmtId="0" fontId="9" fillId="0" borderId="2" xfId="3" applyFont="1" applyBorder="1" applyAlignment="1">
      <alignment horizontal="left" indent="5"/>
    </xf>
    <xf numFmtId="0" fontId="2" fillId="0" borderId="0" xfId="3"/>
    <xf numFmtId="0" fontId="14" fillId="0" borderId="0" xfId="3" applyFont="1" applyAlignment="1">
      <alignment horizontal="right"/>
    </xf>
    <xf numFmtId="9" fontId="2" fillId="0" borderId="0" xfId="3" applyNumberFormat="1" applyAlignment="1">
      <alignment horizontal="center"/>
    </xf>
    <xf numFmtId="9" fontId="15" fillId="0" borderId="0" xfId="3" applyNumberFormat="1" applyFont="1" applyAlignment="1">
      <alignment horizontal="center"/>
    </xf>
    <xf numFmtId="9" fontId="16" fillId="0" borderId="0" xfId="3" applyNumberFormat="1" applyFont="1" applyAlignment="1">
      <alignment horizontal="center"/>
    </xf>
    <xf numFmtId="0" fontId="9" fillId="0" borderId="0" xfId="3" applyFont="1" applyAlignment="1">
      <alignment horizontal="right"/>
    </xf>
    <xf numFmtId="0" fontId="2" fillId="0" borderId="0" xfId="3" applyFont="1" applyAlignment="1">
      <alignment horizontal="center"/>
    </xf>
    <xf numFmtId="0" fontId="2" fillId="0" borderId="10" xfId="3" applyFont="1" applyBorder="1"/>
    <xf numFmtId="9" fontId="2" fillId="0" borderId="11" xfId="1" applyFont="1" applyBorder="1"/>
    <xf numFmtId="0" fontId="33" fillId="0" borderId="0" xfId="3" applyFont="1"/>
    <xf numFmtId="0" fontId="2" fillId="0" borderId="0" xfId="3" applyFont="1" applyBorder="1" applyAlignment="1">
      <alignment horizontal="left" indent="1"/>
    </xf>
    <xf numFmtId="37" fontId="2" fillId="3" borderId="2" xfId="3" applyNumberFormat="1" applyFont="1" applyFill="1" applyBorder="1"/>
    <xf numFmtId="167" fontId="34" fillId="0" borderId="0" xfId="3" applyNumberFormat="1" applyFont="1"/>
    <xf numFmtId="167" fontId="2" fillId="3" borderId="0" xfId="3" applyNumberFormat="1" applyFont="1" applyFill="1"/>
    <xf numFmtId="167" fontId="10" fillId="0" borderId="4" xfId="3" applyNumberFormat="1" applyFont="1" applyBorder="1"/>
    <xf numFmtId="0" fontId="35" fillId="0" borderId="0" xfId="3" applyFont="1" applyFill="1" applyBorder="1"/>
    <xf numFmtId="37" fontId="34" fillId="0" borderId="0" xfId="3" applyNumberFormat="1" applyFont="1"/>
    <xf numFmtId="0" fontId="9" fillId="0" borderId="1" xfId="3" applyFont="1" applyBorder="1" applyAlignment="1">
      <alignment horizontal="center"/>
    </xf>
    <xf numFmtId="37" fontId="34" fillId="0" borderId="0" xfId="3" applyNumberFormat="1" applyFont="1" applyAlignment="1">
      <alignment horizontal="right"/>
    </xf>
    <xf numFmtId="0" fontId="2" fillId="0" borderId="0" xfId="3" applyFont="1" applyAlignment="1">
      <alignment horizontal="right"/>
    </xf>
    <xf numFmtId="169" fontId="2" fillId="0" borderId="0" xfId="3" applyNumberFormat="1" applyFont="1"/>
    <xf numFmtId="0" fontId="36" fillId="0" borderId="0" xfId="2" applyFont="1" applyFill="1" applyBorder="1"/>
    <xf numFmtId="0" fontId="5" fillId="0" borderId="0" xfId="2" applyFont="1" applyFill="1" applyBorder="1"/>
    <xf numFmtId="0" fontId="2" fillId="0" borderId="0" xfId="2" applyFont="1" applyFill="1" applyBorder="1" applyAlignment="1"/>
    <xf numFmtId="0" fontId="2" fillId="3" borderId="10" xfId="3" applyFont="1" applyFill="1" applyBorder="1"/>
    <xf numFmtId="9" fontId="2" fillId="3" borderId="11" xfId="1" applyFont="1" applyFill="1" applyBorder="1"/>
    <xf numFmtId="0" fontId="33" fillId="0" borderId="0" xfId="3" applyFont="1" applyBorder="1"/>
    <xf numFmtId="37" fontId="33" fillId="0" borderId="0" xfId="3" applyNumberFormat="1" applyFont="1"/>
    <xf numFmtId="0" fontId="37" fillId="0" borderId="0" xfId="2" applyFont="1" applyFill="1"/>
    <xf numFmtId="0" fontId="37" fillId="2" borderId="0" xfId="2" applyFont="1" applyFill="1"/>
    <xf numFmtId="0" fontId="29" fillId="0" borderId="1" xfId="2" applyFont="1" applyBorder="1"/>
    <xf numFmtId="0" fontId="29" fillId="0" borderId="0" xfId="2" applyFont="1" applyBorder="1"/>
    <xf numFmtId="170" fontId="38" fillId="3" borderId="0" xfId="3" applyNumberFormat="1" applyFont="1" applyFill="1" applyBorder="1"/>
    <xf numFmtId="170" fontId="2" fillId="3" borderId="0" xfId="3" applyNumberFormat="1" applyFont="1" applyFill="1" applyBorder="1"/>
    <xf numFmtId="0" fontId="8" fillId="0" borderId="0" xfId="3" applyFont="1" applyBorder="1"/>
    <xf numFmtId="0" fontId="9" fillId="0" borderId="0" xfId="3" applyFont="1" applyBorder="1"/>
    <xf numFmtId="0" fontId="39" fillId="0" borderId="0" xfId="3" applyFont="1" applyBorder="1"/>
    <xf numFmtId="0" fontId="9" fillId="3" borderId="0" xfId="3" applyFont="1" applyFill="1" applyBorder="1"/>
    <xf numFmtId="0" fontId="2" fillId="3" borderId="0" xfId="3" applyFont="1" applyFill="1" applyBorder="1"/>
    <xf numFmtId="171" fontId="9" fillId="3" borderId="2" xfId="3" applyNumberFormat="1" applyFont="1" applyFill="1" applyBorder="1" applyAlignment="1">
      <alignment horizontal="center"/>
    </xf>
    <xf numFmtId="172" fontId="9" fillId="3" borderId="2" xfId="3" applyNumberFormat="1" applyFont="1" applyFill="1" applyBorder="1"/>
    <xf numFmtId="166" fontId="9" fillId="3" borderId="2" xfId="3" applyNumberFormat="1" applyFont="1" applyFill="1" applyBorder="1"/>
    <xf numFmtId="166" fontId="9" fillId="3" borderId="0" xfId="3" applyNumberFormat="1" applyFont="1" applyFill="1" applyBorder="1"/>
    <xf numFmtId="0" fontId="40" fillId="3" borderId="0" xfId="3" applyFont="1" applyFill="1" applyBorder="1" applyAlignment="1">
      <alignment horizontal="left" indent="3"/>
    </xf>
    <xf numFmtId="170" fontId="41" fillId="3" borderId="0" xfId="3" applyNumberFormat="1" applyFont="1" applyFill="1" applyBorder="1" applyAlignment="1">
      <alignment horizontal="left" indent="3"/>
    </xf>
    <xf numFmtId="170" fontId="42" fillId="3" borderId="0" xfId="3" applyNumberFormat="1" applyFont="1" applyFill="1" applyBorder="1" applyAlignment="1">
      <alignment horizontal="left" indent="3"/>
    </xf>
    <xf numFmtId="170" fontId="40" fillId="3" borderId="0" xfId="3" applyNumberFormat="1" applyFont="1" applyFill="1" applyBorder="1" applyAlignment="1">
      <alignment horizontal="left" indent="3"/>
    </xf>
    <xf numFmtId="0" fontId="2" fillId="3" borderId="0" xfId="3" applyFont="1" applyFill="1" applyBorder="1" applyAlignment="1">
      <alignment horizontal="left" indent="1"/>
    </xf>
    <xf numFmtId="170" fontId="10" fillId="3" borderId="0" xfId="3" applyNumberFormat="1" applyFont="1" applyFill="1" applyBorder="1" applyAlignment="1"/>
    <xf numFmtId="3" fontId="8" fillId="3" borderId="0" xfId="3" applyNumberFormat="1" applyFont="1" applyFill="1" applyBorder="1" applyAlignment="1">
      <alignment horizontal="right"/>
    </xf>
    <xf numFmtId="3" fontId="43" fillId="9" borderId="0" xfId="3" applyNumberFormat="1" applyFont="1" applyFill="1" applyBorder="1" applyAlignment="1">
      <alignment horizontal="right"/>
    </xf>
    <xf numFmtId="0" fontId="33" fillId="3" borderId="0" xfId="3" applyFont="1" applyFill="1" applyBorder="1"/>
    <xf numFmtId="0" fontId="2" fillId="3" borderId="0" xfId="3" applyFont="1" applyFill="1" applyBorder="1" applyAlignment="1">
      <alignment horizontal="left" indent="2"/>
    </xf>
    <xf numFmtId="167" fontId="8" fillId="3" borderId="0" xfId="1" applyNumberFormat="1" applyFont="1" applyFill="1" applyBorder="1" applyAlignment="1">
      <alignment horizontal="right"/>
    </xf>
    <xf numFmtId="167" fontId="43" fillId="3" borderId="0" xfId="1" applyNumberFormat="1" applyFont="1" applyFill="1" applyBorder="1" applyAlignment="1">
      <alignment horizontal="right"/>
    </xf>
    <xf numFmtId="9" fontId="44" fillId="9" borderId="4" xfId="1" applyFont="1" applyFill="1" applyBorder="1" applyAlignment="1"/>
    <xf numFmtId="9" fontId="8" fillId="3" borderId="0" xfId="1" applyFont="1" applyFill="1" applyBorder="1" applyAlignment="1">
      <alignment horizontal="right"/>
    </xf>
    <xf numFmtId="9" fontId="43" fillId="3" borderId="0" xfId="1" applyFont="1" applyFill="1" applyBorder="1" applyAlignment="1">
      <alignment horizontal="right"/>
    </xf>
    <xf numFmtId="3" fontId="45" fillId="3" borderId="0" xfId="3" applyNumberFormat="1" applyFont="1" applyFill="1" applyBorder="1" applyAlignment="1">
      <alignment horizontal="left"/>
    </xf>
    <xf numFmtId="173" fontId="10" fillId="9" borderId="4" xfId="3" applyNumberFormat="1" applyFont="1" applyFill="1" applyBorder="1" applyAlignment="1"/>
    <xf numFmtId="4" fontId="8" fillId="3" borderId="0" xfId="3" applyNumberFormat="1" applyFont="1" applyFill="1" applyBorder="1" applyAlignment="1">
      <alignment horizontal="right"/>
    </xf>
    <xf numFmtId="9" fontId="10" fillId="3" borderId="4" xfId="1" applyFont="1" applyFill="1" applyBorder="1" applyAlignment="1"/>
    <xf numFmtId="3" fontId="10" fillId="3" borderId="0" xfId="3" applyNumberFormat="1" applyFont="1" applyFill="1" applyBorder="1" applyAlignment="1">
      <alignment horizontal="right"/>
    </xf>
    <xf numFmtId="3" fontId="46" fillId="3" borderId="0" xfId="3" applyNumberFormat="1" applyFont="1" applyFill="1" applyBorder="1" applyAlignment="1">
      <alignment horizontal="right"/>
    </xf>
    <xf numFmtId="3" fontId="2" fillId="3" borderId="0" xfId="3" applyNumberFormat="1" applyFont="1" applyFill="1" applyBorder="1" applyAlignment="1">
      <alignment horizontal="right"/>
    </xf>
    <xf numFmtId="9" fontId="44" fillId="0" borderId="4" xfId="1" applyFont="1" applyFill="1" applyBorder="1" applyAlignment="1"/>
    <xf numFmtId="3" fontId="2" fillId="0" borderId="0" xfId="3" applyNumberFormat="1" applyFont="1" applyBorder="1" applyAlignment="1">
      <alignment horizontal="right"/>
    </xf>
    <xf numFmtId="3" fontId="8" fillId="0" borderId="0" xfId="3" applyNumberFormat="1" applyFont="1" applyBorder="1" applyAlignment="1">
      <alignment horizontal="right"/>
    </xf>
    <xf numFmtId="173" fontId="44" fillId="0" borderId="4" xfId="1" applyNumberFormat="1" applyFont="1" applyFill="1" applyBorder="1" applyAlignment="1"/>
    <xf numFmtId="9" fontId="44" fillId="3" borderId="4" xfId="1" applyFont="1" applyFill="1" applyBorder="1" applyAlignment="1"/>
    <xf numFmtId="3" fontId="2" fillId="0" borderId="2" xfId="3" applyNumberFormat="1" applyFont="1" applyBorder="1" applyAlignment="1">
      <alignment horizontal="right"/>
    </xf>
    <xf numFmtId="3" fontId="2" fillId="3" borderId="2" xfId="3" applyNumberFormat="1" applyFont="1" applyFill="1" applyBorder="1" applyAlignment="1">
      <alignment horizontal="right"/>
    </xf>
    <xf numFmtId="0" fontId="9" fillId="3" borderId="0" xfId="3" applyFont="1" applyFill="1" applyBorder="1" applyAlignment="1">
      <alignment horizontal="left"/>
    </xf>
    <xf numFmtId="0" fontId="2" fillId="0" borderId="12" xfId="3" applyFont="1" applyBorder="1" applyAlignment="1">
      <alignment horizontal="right"/>
    </xf>
    <xf numFmtId="170" fontId="2" fillId="3" borderId="0" xfId="3" applyNumberFormat="1" applyFont="1" applyFill="1" applyBorder="1" applyAlignment="1"/>
    <xf numFmtId="37" fontId="9" fillId="3" borderId="0" xfId="3" applyNumberFormat="1" applyFont="1" applyFill="1" applyAlignment="1">
      <alignment horizontal="right"/>
    </xf>
    <xf numFmtId="9" fontId="2" fillId="3" borderId="13" xfId="1" applyFont="1" applyFill="1" applyBorder="1"/>
    <xf numFmtId="0" fontId="2" fillId="3" borderId="14" xfId="3" quotePrefix="1" applyFont="1" applyFill="1" applyBorder="1"/>
    <xf numFmtId="37" fontId="9" fillId="3" borderId="0" xfId="3" applyNumberFormat="1" applyFont="1" applyFill="1"/>
    <xf numFmtId="37" fontId="39" fillId="3" borderId="0" xfId="3" applyNumberFormat="1" applyFont="1" applyFill="1"/>
    <xf numFmtId="9" fontId="2" fillId="3" borderId="0" xfId="1" applyFont="1" applyFill="1" applyBorder="1"/>
    <xf numFmtId="0" fontId="2" fillId="3" borderId="0" xfId="3" quotePrefix="1" applyFont="1" applyFill="1" applyBorder="1"/>
    <xf numFmtId="174" fontId="9" fillId="3" borderId="0" xfId="3" applyNumberFormat="1" applyFont="1" applyFill="1" applyBorder="1" applyAlignment="1"/>
    <xf numFmtId="174" fontId="39" fillId="3" borderId="0" xfId="3" applyNumberFormat="1" applyFont="1" applyFill="1" applyBorder="1" applyAlignment="1"/>
    <xf numFmtId="170" fontId="2" fillId="0" borderId="13" xfId="3" applyNumberFormat="1" applyFont="1" applyBorder="1"/>
    <xf numFmtId="9" fontId="44" fillId="3" borderId="14" xfId="1" applyNumberFormat="1" applyFont="1" applyFill="1" applyBorder="1" applyAlignment="1">
      <alignment horizontal="right"/>
    </xf>
    <xf numFmtId="37" fontId="44" fillId="3" borderId="0" xfId="3" applyNumberFormat="1" applyFont="1" applyFill="1" applyBorder="1" applyAlignment="1"/>
    <xf numFmtId="37" fontId="44" fillId="0" borderId="0" xfId="3" applyNumberFormat="1" applyFont="1" applyBorder="1" applyAlignment="1"/>
    <xf numFmtId="37" fontId="43" fillId="0" borderId="0" xfId="3" applyNumberFormat="1" applyFont="1" applyBorder="1" applyAlignment="1"/>
    <xf numFmtId="170" fontId="2" fillId="0" borderId="0" xfId="3" applyNumberFormat="1" applyFont="1" applyBorder="1" applyAlignment="1">
      <alignment horizontal="right"/>
    </xf>
    <xf numFmtId="170" fontId="2" fillId="0" borderId="0" xfId="3" applyNumberFormat="1" applyFont="1" applyBorder="1" applyAlignment="1">
      <alignment horizontal="center"/>
    </xf>
    <xf numFmtId="0" fontId="2" fillId="0" borderId="0" xfId="3" applyBorder="1"/>
    <xf numFmtId="0" fontId="2" fillId="3" borderId="13" xfId="3" applyFont="1" applyFill="1" applyBorder="1"/>
    <xf numFmtId="9" fontId="10" fillId="3" borderId="14" xfId="1" applyFont="1" applyFill="1" applyBorder="1" applyAlignment="1"/>
    <xf numFmtId="37" fontId="2" fillId="3" borderId="0" xfId="3" applyNumberFormat="1" applyFont="1" applyFill="1" applyBorder="1" applyAlignment="1"/>
    <xf numFmtId="37" fontId="8" fillId="3" borderId="0" xfId="3" applyNumberFormat="1" applyFont="1" applyFill="1" applyBorder="1" applyAlignment="1"/>
    <xf numFmtId="9" fontId="2" fillId="3" borderId="0" xfId="1" applyFont="1" applyFill="1" applyBorder="1" applyAlignment="1"/>
    <xf numFmtId="9" fontId="8" fillId="3" borderId="0" xfId="1" applyFont="1" applyFill="1" applyBorder="1" applyAlignment="1"/>
    <xf numFmtId="0" fontId="2" fillId="0" borderId="0" xfId="3" applyFont="1" applyBorder="1" applyAlignment="1"/>
    <xf numFmtId="9" fontId="8" fillId="3" borderId="0" xfId="1" applyFont="1" applyFill="1" applyBorder="1"/>
    <xf numFmtId="175" fontId="2" fillId="3" borderId="0" xfId="1" applyNumberFormat="1" applyFont="1" applyFill="1" applyBorder="1"/>
    <xf numFmtId="175" fontId="8" fillId="3" borderId="0" xfId="1" applyNumberFormat="1" applyFont="1" applyFill="1" applyBorder="1"/>
    <xf numFmtId="175" fontId="2" fillId="3" borderId="4" xfId="1" applyNumberFormat="1" applyFont="1" applyFill="1" applyBorder="1"/>
    <xf numFmtId="0" fontId="2" fillId="10" borderId="0" xfId="3" applyFont="1" applyFill="1" applyBorder="1"/>
    <xf numFmtId="9" fontId="44" fillId="3" borderId="0" xfId="1" applyFont="1" applyFill="1" applyBorder="1"/>
    <xf numFmtId="9" fontId="44" fillId="10" borderId="0" xfId="1" applyFont="1" applyFill="1" applyBorder="1"/>
    <xf numFmtId="9" fontId="43" fillId="10" borderId="0" xfId="1" applyFont="1" applyFill="1" applyBorder="1"/>
    <xf numFmtId="3" fontId="2" fillId="3" borderId="0" xfId="1" applyNumberFormat="1" applyFont="1" applyFill="1" applyBorder="1"/>
    <xf numFmtId="3" fontId="8" fillId="3" borderId="0" xfId="1" applyNumberFormat="1" applyFont="1" applyFill="1" applyBorder="1"/>
    <xf numFmtId="0" fontId="2" fillId="10" borderId="0" xfId="3" applyFont="1" applyFill="1" applyBorder="1" applyAlignment="1">
      <alignment horizontal="left" indent="1"/>
    </xf>
    <xf numFmtId="0" fontId="2" fillId="10" borderId="0" xfId="3" applyFont="1" applyFill="1" applyBorder="1" applyAlignment="1"/>
    <xf numFmtId="175" fontId="2" fillId="10" borderId="0" xfId="1" applyNumberFormat="1" applyFont="1" applyFill="1" applyBorder="1"/>
    <xf numFmtId="175" fontId="8" fillId="10" borderId="0" xfId="1" applyNumberFormat="1" applyFont="1" applyFill="1" applyBorder="1"/>
    <xf numFmtId="175" fontId="2" fillId="10" borderId="4" xfId="1" applyNumberFormat="1" applyFont="1" applyFill="1" applyBorder="1"/>
    <xf numFmtId="9" fontId="2" fillId="10" borderId="0" xfId="1" applyFont="1" applyFill="1" applyBorder="1"/>
    <xf numFmtId="9" fontId="8" fillId="10" borderId="0" xfId="1" applyFont="1" applyFill="1" applyBorder="1"/>
    <xf numFmtId="9" fontId="2" fillId="10" borderId="4" xfId="1" applyFont="1" applyFill="1" applyBorder="1"/>
    <xf numFmtId="4" fontId="2" fillId="3" borderId="0" xfId="1" applyNumberFormat="1" applyFont="1" applyFill="1" applyBorder="1"/>
    <xf numFmtId="4" fontId="8" fillId="3" borderId="0" xfId="1" applyNumberFormat="1" applyFont="1" applyFill="1" applyBorder="1"/>
    <xf numFmtId="0" fontId="9" fillId="0" borderId="0" xfId="3" applyFont="1" applyBorder="1" applyAlignment="1">
      <alignment horizontal="left" indent="1"/>
    </xf>
    <xf numFmtId="3" fontId="34" fillId="3" borderId="0" xfId="1" applyNumberFormat="1" applyFont="1" applyFill="1" applyBorder="1"/>
    <xf numFmtId="3" fontId="13" fillId="3" borderId="0" xfId="1" applyNumberFormat="1" applyFont="1" applyFill="1" applyBorder="1"/>
    <xf numFmtId="3" fontId="34" fillId="3" borderId="13" xfId="1" applyNumberFormat="1" applyFont="1" applyFill="1" applyBorder="1"/>
    <xf numFmtId="3" fontId="2" fillId="3" borderId="3" xfId="1" applyNumberFormat="1" applyFont="1" applyFill="1" applyBorder="1"/>
    <xf numFmtId="3" fontId="2" fillId="3" borderId="14" xfId="1" applyNumberFormat="1" applyFont="1" applyFill="1" applyBorder="1"/>
    <xf numFmtId="176" fontId="2" fillId="3" borderId="0" xfId="1" applyNumberFormat="1" applyFont="1" applyFill="1" applyBorder="1"/>
    <xf numFmtId="177" fontId="2" fillId="3" borderId="0" xfId="1" applyNumberFormat="1" applyFont="1" applyFill="1" applyBorder="1"/>
    <xf numFmtId="177" fontId="2" fillId="3" borderId="2" xfId="1" applyNumberFormat="1" applyFont="1" applyFill="1" applyBorder="1"/>
    <xf numFmtId="164" fontId="2" fillId="3" borderId="0" xfId="1" applyNumberFormat="1" applyFont="1" applyFill="1" applyBorder="1"/>
    <xf numFmtId="170" fontId="2" fillId="0" borderId="0" xfId="3" applyNumberFormat="1" applyFont="1" applyBorder="1"/>
    <xf numFmtId="170" fontId="2" fillId="0" borderId="0" xfId="3" applyNumberFormat="1" applyFont="1" applyBorder="1" applyAlignment="1"/>
    <xf numFmtId="9" fontId="2" fillId="0" borderId="0" xfId="1" applyFont="1" applyBorder="1"/>
    <xf numFmtId="9" fontId="2" fillId="0" borderId="0" xfId="1" applyNumberFormat="1" applyFont="1" applyBorder="1"/>
    <xf numFmtId="0" fontId="2" fillId="0" borderId="0" xfId="3" applyFont="1" applyFill="1" applyBorder="1" applyAlignment="1">
      <alignment horizontal="left" indent="1"/>
    </xf>
    <xf numFmtId="9" fontId="38" fillId="3" borderId="0" xfId="1" applyFont="1" applyFill="1" applyBorder="1" applyAlignment="1"/>
    <xf numFmtId="9" fontId="47" fillId="3" borderId="0" xfId="1" applyFont="1" applyFill="1" applyBorder="1" applyAlignment="1"/>
    <xf numFmtId="43" fontId="48" fillId="0" borderId="4" xfId="9" applyFont="1" applyBorder="1" applyAlignment="1">
      <alignment horizontal="centerContinuous"/>
    </xf>
    <xf numFmtId="0" fontId="9" fillId="0" borderId="0" xfId="3" applyFont="1" applyFill="1" applyBorder="1" applyAlignment="1">
      <alignment horizontal="left" indent="1"/>
    </xf>
    <xf numFmtId="1" fontId="2" fillId="3" borderId="0" xfId="1" applyNumberFormat="1" applyFont="1" applyFill="1" applyBorder="1" applyAlignment="1"/>
    <xf numFmtId="9" fontId="9" fillId="0" borderId="10" xfId="1" applyFont="1" applyBorder="1" applyAlignment="1">
      <alignment horizontal="centerContinuous"/>
    </xf>
    <xf numFmtId="0" fontId="2" fillId="3" borderId="0" xfId="2" applyFont="1" applyFill="1"/>
    <xf numFmtId="170" fontId="2" fillId="0" borderId="13" xfId="3" applyNumberFormat="1" applyFont="1" applyBorder="1" applyAlignment="1">
      <alignment horizontal="right"/>
    </xf>
    <xf numFmtId="9" fontId="10" fillId="3" borderId="14" xfId="1" applyNumberFormat="1" applyFont="1" applyFill="1" applyBorder="1" applyAlignment="1"/>
    <xf numFmtId="9" fontId="9" fillId="0" borderId="15" xfId="1" applyFont="1" applyBorder="1" applyAlignment="1">
      <alignment horizontal="centerContinuous"/>
    </xf>
    <xf numFmtId="0" fontId="2" fillId="0" borderId="0" xfId="3" applyFont="1" applyFill="1" applyBorder="1" applyAlignment="1">
      <alignment horizontal="left" indent="3"/>
    </xf>
    <xf numFmtId="9" fontId="10" fillId="3" borderId="0" xfId="1" applyFont="1" applyFill="1" applyBorder="1" applyAlignment="1"/>
    <xf numFmtId="1" fontId="8" fillId="3" borderId="0" xfId="1" applyNumberFormat="1" applyFont="1" applyFill="1" applyBorder="1" applyAlignment="1"/>
    <xf numFmtId="43" fontId="9" fillId="0" borderId="15" xfId="9" applyFont="1" applyBorder="1" applyAlignment="1">
      <alignment horizontal="centerContinuous"/>
    </xf>
    <xf numFmtId="0" fontId="2" fillId="3" borderId="0" xfId="2" applyFont="1" applyFill="1" applyBorder="1"/>
    <xf numFmtId="173" fontId="44" fillId="3" borderId="0" xfId="1" applyNumberFormat="1" applyFont="1" applyFill="1" applyBorder="1" applyAlignment="1"/>
    <xf numFmtId="173" fontId="2" fillId="3" borderId="0" xfId="1" applyNumberFormat="1" applyFont="1" applyFill="1" applyBorder="1" applyAlignment="1"/>
    <xf numFmtId="170" fontId="2" fillId="3" borderId="13" xfId="3" applyNumberFormat="1" applyFont="1" applyFill="1" applyBorder="1"/>
    <xf numFmtId="173" fontId="44" fillId="9" borderId="14" xfId="1" applyNumberFormat="1" applyFont="1" applyFill="1" applyBorder="1" applyAlignment="1"/>
    <xf numFmtId="173" fontId="2" fillId="0" borderId="0" xfId="3" applyNumberFormat="1" applyFont="1" applyBorder="1"/>
    <xf numFmtId="173" fontId="44" fillId="3" borderId="3" xfId="14" applyNumberFormat="1" applyFont="1" applyFill="1" applyBorder="1" applyAlignment="1"/>
    <xf numFmtId="1" fontId="2" fillId="0" borderId="0" xfId="1" applyNumberFormat="1" applyFont="1" applyBorder="1" applyAlignment="1"/>
    <xf numFmtId="9" fontId="10" fillId="9" borderId="4" xfId="1" applyFont="1" applyFill="1" applyBorder="1" applyAlignment="1"/>
    <xf numFmtId="1" fontId="8" fillId="0" borderId="0" xfId="1" applyNumberFormat="1" applyFont="1" applyBorder="1" applyAlignment="1"/>
    <xf numFmtId="9" fontId="10" fillId="3" borderId="3" xfId="1" applyFont="1" applyFill="1" applyBorder="1" applyAlignment="1"/>
    <xf numFmtId="178" fontId="44" fillId="9" borderId="14" xfId="14" applyNumberFormat="1" applyFont="1" applyFill="1" applyBorder="1" applyAlignment="1"/>
    <xf numFmtId="167" fontId="9" fillId="3" borderId="15" xfId="1" applyNumberFormat="1" applyFont="1" applyFill="1" applyBorder="1" applyAlignment="1">
      <alignment horizontal="centerContinuous"/>
    </xf>
    <xf numFmtId="178" fontId="44" fillId="3" borderId="3" xfId="14" applyNumberFormat="1" applyFont="1" applyFill="1" applyBorder="1" applyAlignment="1"/>
    <xf numFmtId="9" fontId="10" fillId="9" borderId="11" xfId="1" applyFont="1" applyFill="1" applyBorder="1" applyAlignment="1"/>
    <xf numFmtId="9" fontId="2" fillId="3" borderId="0" xfId="2" applyNumberFormat="1" applyFont="1" applyFill="1" applyBorder="1"/>
    <xf numFmtId="9" fontId="10" fillId="3" borderId="16" xfId="1" applyFont="1" applyFill="1" applyBorder="1" applyAlignment="1"/>
    <xf numFmtId="0" fontId="2" fillId="3" borderId="0" xfId="3" applyFont="1" applyFill="1" applyBorder="1" applyAlignment="1">
      <alignment horizontal="left" indent="3"/>
    </xf>
    <xf numFmtId="9" fontId="2" fillId="0" borderId="16" xfId="1" applyFont="1" applyBorder="1" applyAlignment="1"/>
    <xf numFmtId="37" fontId="9" fillId="0" borderId="16" xfId="3" applyNumberFormat="1" applyFont="1" applyBorder="1" applyAlignment="1"/>
    <xf numFmtId="168" fontId="2" fillId="3" borderId="0" xfId="3" applyNumberFormat="1" applyFont="1" applyFill="1" applyBorder="1" applyAlignment="1"/>
    <xf numFmtId="0" fontId="8" fillId="3" borderId="0" xfId="3" applyFont="1" applyFill="1" applyBorder="1"/>
    <xf numFmtId="2" fontId="10" fillId="0" borderId="4" xfId="3" applyNumberFormat="1" applyFont="1" applyFill="1" applyBorder="1" applyAlignment="1"/>
    <xf numFmtId="1" fontId="44" fillId="0" borderId="0" xfId="1" applyNumberFormat="1" applyFont="1" applyBorder="1" applyAlignment="1"/>
    <xf numFmtId="9" fontId="9" fillId="0" borderId="0" xfId="1" applyFont="1" applyBorder="1" applyAlignment="1">
      <alignment horizontal="centerContinuous"/>
    </xf>
    <xf numFmtId="9" fontId="10" fillId="3" borderId="11" xfId="1" applyFont="1" applyFill="1" applyBorder="1" applyAlignment="1"/>
    <xf numFmtId="178" fontId="10" fillId="3" borderId="4" xfId="3" applyNumberFormat="1" applyFont="1" applyFill="1" applyBorder="1" applyAlignment="1"/>
    <xf numFmtId="1" fontId="2" fillId="3" borderId="0" xfId="3" applyNumberFormat="1" applyFont="1" applyFill="1" applyBorder="1"/>
    <xf numFmtId="9" fontId="10" fillId="0" borderId="14" xfId="1" applyFont="1" applyFill="1" applyBorder="1" applyAlignment="1"/>
    <xf numFmtId="1" fontId="10" fillId="3" borderId="4" xfId="1" applyNumberFormat="1" applyFont="1" applyFill="1" applyBorder="1" applyAlignment="1"/>
    <xf numFmtId="178" fontId="10" fillId="3" borderId="10" xfId="1" applyNumberFormat="1" applyFont="1" applyFill="1" applyBorder="1" applyAlignment="1"/>
    <xf numFmtId="1" fontId="2" fillId="11" borderId="0" xfId="3" applyNumberFormat="1" applyFont="1" applyFill="1" applyBorder="1"/>
    <xf numFmtId="168" fontId="2" fillId="3" borderId="0" xfId="3" applyNumberFormat="1" applyFont="1" applyFill="1" applyBorder="1"/>
    <xf numFmtId="167" fontId="10" fillId="9" borderId="11" xfId="3" applyNumberFormat="1" applyFont="1" applyFill="1" applyBorder="1" applyAlignment="1"/>
    <xf numFmtId="167" fontId="2" fillId="3" borderId="2" xfId="3" applyNumberFormat="1" applyFont="1" applyFill="1" applyBorder="1"/>
    <xf numFmtId="167" fontId="8" fillId="3" borderId="2" xfId="3" applyNumberFormat="1" applyFont="1" applyFill="1" applyBorder="1"/>
    <xf numFmtId="167" fontId="2" fillId="3" borderId="0" xfId="3" applyNumberFormat="1" applyFont="1" applyFill="1" applyBorder="1"/>
    <xf numFmtId="3" fontId="2" fillId="3" borderId="0" xfId="3" applyNumberFormat="1" applyFont="1" applyFill="1" applyBorder="1"/>
    <xf numFmtId="37" fontId="9" fillId="3" borderId="16" xfId="3" applyNumberFormat="1" applyFont="1" applyFill="1" applyBorder="1" applyAlignment="1"/>
    <xf numFmtId="37" fontId="9" fillId="3" borderId="0" xfId="3" applyNumberFormat="1" applyFont="1" applyFill="1" applyBorder="1" applyAlignment="1"/>
    <xf numFmtId="37" fontId="39" fillId="3" borderId="0" xfId="3" applyNumberFormat="1" applyFont="1" applyFill="1" applyBorder="1" applyAlignment="1"/>
    <xf numFmtId="179" fontId="10" fillId="3" borderId="0" xfId="3" applyNumberFormat="1" applyFont="1" applyFill="1" applyBorder="1" applyAlignment="1"/>
    <xf numFmtId="0" fontId="2" fillId="3" borderId="2" xfId="3" applyFont="1" applyFill="1" applyBorder="1"/>
    <xf numFmtId="0" fontId="2" fillId="3" borderId="2" xfId="20" applyFont="1" applyFill="1" applyBorder="1"/>
    <xf numFmtId="0" fontId="9" fillId="3" borderId="2" xfId="3" applyFont="1" applyFill="1" applyBorder="1"/>
    <xf numFmtId="0" fontId="2" fillId="3" borderId="0" xfId="20" applyFont="1" applyFill="1"/>
    <xf numFmtId="9" fontId="2" fillId="12" borderId="0" xfId="1" applyFont="1" applyFill="1" applyBorder="1"/>
    <xf numFmtId="0" fontId="2" fillId="3" borderId="0" xfId="20" applyFont="1" applyFill="1" applyBorder="1"/>
    <xf numFmtId="3" fontId="2" fillId="3" borderId="0" xfId="20" applyNumberFormat="1" applyFont="1" applyFill="1"/>
    <xf numFmtId="3" fontId="2" fillId="11" borderId="0" xfId="20" applyNumberFormat="1" applyFont="1" applyFill="1"/>
    <xf numFmtId="175" fontId="2" fillId="3" borderId="0" xfId="20" applyNumberFormat="1" applyFont="1" applyFill="1"/>
    <xf numFmtId="0" fontId="2" fillId="0" borderId="0" xfId="20" applyFont="1" applyFill="1"/>
    <xf numFmtId="167" fontId="10" fillId="9" borderId="4" xfId="1" applyNumberFormat="1" applyFont="1" applyFill="1" applyBorder="1" applyAlignment="1"/>
    <xf numFmtId="39" fontId="10" fillId="3" borderId="2" xfId="3" applyNumberFormat="1" applyFont="1" applyFill="1" applyBorder="1" applyAlignment="1"/>
    <xf numFmtId="39" fontId="46" fillId="3" borderId="2" xfId="3" applyNumberFormat="1" applyFont="1" applyFill="1" applyBorder="1" applyAlignment="1"/>
    <xf numFmtId="37" fontId="2" fillId="3" borderId="2" xfId="3" applyNumberFormat="1" applyFont="1" applyFill="1" applyBorder="1" applyAlignment="1"/>
    <xf numFmtId="167" fontId="38" fillId="3" borderId="0" xfId="3" applyNumberFormat="1" applyFont="1" applyFill="1" applyBorder="1" applyAlignment="1"/>
    <xf numFmtId="37" fontId="2" fillId="11" borderId="0" xfId="3" applyNumberFormat="1" applyFont="1" applyFill="1" applyBorder="1" applyAlignment="1"/>
    <xf numFmtId="167" fontId="38" fillId="9" borderId="4" xfId="1" applyNumberFormat="1" applyFont="1" applyFill="1" applyBorder="1"/>
    <xf numFmtId="37" fontId="2" fillId="3" borderId="0" xfId="1" applyNumberFormat="1" applyFont="1" applyFill="1" applyBorder="1" applyAlignment="1"/>
    <xf numFmtId="166" fontId="9" fillId="3" borderId="0" xfId="3" applyNumberFormat="1" applyFont="1" applyFill="1" applyBorder="1" applyAlignment="1">
      <alignment horizontal="centerContinuous"/>
    </xf>
    <xf numFmtId="170" fontId="2" fillId="3" borderId="16" xfId="3" applyNumberFormat="1" applyFont="1" applyFill="1" applyBorder="1" applyAlignment="1"/>
    <xf numFmtId="0" fontId="2" fillId="3" borderId="0" xfId="3" applyFont="1" applyFill="1" applyBorder="1" applyAlignment="1"/>
    <xf numFmtId="0" fontId="7" fillId="3" borderId="0" xfId="2" applyFont="1" applyFill="1"/>
    <xf numFmtId="0" fontId="4" fillId="3" borderId="0" xfId="2" applyFont="1" applyFill="1"/>
    <xf numFmtId="0" fontId="8" fillId="3" borderId="0" xfId="2" applyFont="1" applyFill="1"/>
    <xf numFmtId="180" fontId="9" fillId="3" borderId="0" xfId="3" applyNumberFormat="1" applyFont="1" applyFill="1" applyBorder="1"/>
    <xf numFmtId="0" fontId="9" fillId="3" borderId="0" xfId="3" applyFont="1" applyFill="1" applyBorder="1" applyAlignment="1">
      <alignment horizontal="center"/>
    </xf>
    <xf numFmtId="170" fontId="9" fillId="3" borderId="0" xfId="3" applyNumberFormat="1" applyFont="1" applyFill="1" applyBorder="1"/>
    <xf numFmtId="0" fontId="9" fillId="3" borderId="2" xfId="3" applyFont="1" applyFill="1" applyBorder="1" applyAlignment="1">
      <alignment horizontal="center"/>
    </xf>
    <xf numFmtId="170" fontId="2" fillId="3" borderId="0" xfId="3" applyNumberFormat="1" applyFont="1" applyFill="1" applyBorder="1" applyAlignment="1">
      <alignment horizontal="left"/>
    </xf>
    <xf numFmtId="0" fontId="2" fillId="3" borderId="0" xfId="3" applyFont="1" applyFill="1" applyBorder="1" applyAlignment="1">
      <alignment horizontal="left"/>
    </xf>
    <xf numFmtId="181" fontId="2" fillId="3" borderId="0" xfId="3" applyNumberFormat="1" applyFont="1" applyFill="1" applyBorder="1" applyAlignment="1"/>
    <xf numFmtId="181" fontId="2" fillId="9" borderId="0" xfId="3" applyNumberFormat="1" applyFont="1" applyFill="1" applyBorder="1" applyAlignment="1"/>
    <xf numFmtId="167" fontId="2" fillId="3" borderId="0" xfId="3" applyNumberFormat="1" applyFont="1" applyFill="1" applyBorder="1" applyAlignment="1"/>
    <xf numFmtId="0" fontId="8" fillId="3" borderId="0" xfId="3" applyFont="1" applyFill="1" applyBorder="1" applyAlignment="1"/>
    <xf numFmtId="182" fontId="2" fillId="3" borderId="0" xfId="3" applyNumberFormat="1" applyFont="1" applyFill="1" applyBorder="1" applyAlignment="1"/>
    <xf numFmtId="169" fontId="2" fillId="3" borderId="0" xfId="3" applyNumberFormat="1" applyFont="1" applyFill="1" applyBorder="1" applyAlignment="1"/>
    <xf numFmtId="183" fontId="2" fillId="3" borderId="0" xfId="3" applyNumberFormat="1" applyFont="1" applyFill="1" applyBorder="1" applyAlignment="1"/>
    <xf numFmtId="181" fontId="9" fillId="3" borderId="0" xfId="3" applyNumberFormat="1" applyFont="1" applyFill="1" applyBorder="1" applyAlignment="1"/>
    <xf numFmtId="0" fontId="33" fillId="3" borderId="0" xfId="3" applyFont="1" applyFill="1" applyBorder="1" applyAlignment="1"/>
    <xf numFmtId="1" fontId="2" fillId="3" borderId="0" xfId="3" applyNumberFormat="1" applyFont="1" applyFill="1" applyBorder="1" applyAlignment="1"/>
    <xf numFmtId="184" fontId="2" fillId="3" borderId="0" xfId="3" applyNumberFormat="1" applyFont="1" applyFill="1" applyBorder="1" applyAlignment="1"/>
    <xf numFmtId="170" fontId="2" fillId="11" borderId="0" xfId="3" applyNumberFormat="1" applyFont="1" applyFill="1" applyBorder="1" applyAlignment="1"/>
    <xf numFmtId="181" fontId="2" fillId="0" borderId="0" xfId="3" applyNumberFormat="1" applyFont="1" applyFill="1" applyBorder="1" applyAlignment="1"/>
    <xf numFmtId="0" fontId="2" fillId="3" borderId="0" xfId="3" applyFont="1" applyFill="1"/>
    <xf numFmtId="0" fontId="9" fillId="3" borderId="1" xfId="3" applyFont="1" applyFill="1" applyBorder="1" applyAlignment="1">
      <alignment horizontal="center"/>
    </xf>
    <xf numFmtId="169" fontId="2" fillId="3" borderId="0" xfId="3" applyNumberFormat="1" applyFont="1" applyFill="1"/>
    <xf numFmtId="170" fontId="8" fillId="0" borderId="0" xfId="3" applyNumberFormat="1" applyFont="1" applyBorder="1" applyAlignment="1"/>
    <xf numFmtId="0" fontId="8" fillId="0" borderId="0" xfId="3" applyFont="1" applyBorder="1" applyAlignment="1"/>
    <xf numFmtId="0" fontId="9" fillId="0" borderId="2" xfId="2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39" fillId="0" borderId="0" xfId="2" applyFont="1" applyBorder="1" applyAlignment="1">
      <alignment horizontal="center"/>
    </xf>
    <xf numFmtId="0" fontId="2" fillId="0" borderId="2" xfId="3" applyFont="1" applyBorder="1" applyAlignment="1"/>
    <xf numFmtId="168" fontId="2" fillId="0" borderId="0" xfId="2" applyNumberFormat="1" applyFont="1" applyBorder="1"/>
    <xf numFmtId="168" fontId="8" fillId="0" borderId="0" xfId="2" applyNumberFormat="1" applyFont="1" applyBorder="1"/>
    <xf numFmtId="168" fontId="2" fillId="3" borderId="0" xfId="2" applyNumberFormat="1" applyFont="1" applyFill="1" applyBorder="1"/>
    <xf numFmtId="0" fontId="2" fillId="0" borderId="0" xfId="2" applyFont="1" applyFill="1"/>
    <xf numFmtId="181" fontId="2" fillId="0" borderId="0" xfId="2" applyNumberFormat="1" applyFont="1" applyBorder="1"/>
    <xf numFmtId="0" fontId="8" fillId="3" borderId="0" xfId="2" applyFont="1" applyFill="1" applyBorder="1"/>
    <xf numFmtId="181" fontId="2" fillId="0" borderId="0" xfId="2" applyNumberFormat="1" applyFont="1" applyFill="1" applyBorder="1"/>
    <xf numFmtId="0" fontId="2" fillId="3" borderId="0" xfId="3" applyFont="1" applyFill="1" applyBorder="1" applyAlignment="1">
      <alignment horizontal="right"/>
    </xf>
    <xf numFmtId="0" fontId="2" fillId="0" borderId="0" xfId="3" applyFont="1" applyBorder="1" applyAlignment="1">
      <alignment horizontal="right"/>
    </xf>
    <xf numFmtId="0" fontId="8" fillId="0" borderId="0" xfId="3" applyFont="1" applyBorder="1" applyAlignment="1">
      <alignment horizontal="right"/>
    </xf>
    <xf numFmtId="1" fontId="44" fillId="9" borderId="4" xfId="14" applyNumberFormat="1" applyFont="1" applyFill="1" applyBorder="1" applyAlignment="1"/>
    <xf numFmtId="185" fontId="2" fillId="9" borderId="0" xfId="3" applyNumberFormat="1" applyFont="1" applyFill="1" applyBorder="1"/>
    <xf numFmtId="1" fontId="44" fillId="9" borderId="0" xfId="3" applyNumberFormat="1" applyFont="1" applyFill="1" applyBorder="1"/>
    <xf numFmtId="1" fontId="2" fillId="0" borderId="0" xfId="3" applyNumberFormat="1" applyFont="1" applyBorder="1"/>
    <xf numFmtId="185" fontId="10" fillId="0" borderId="4" xfId="7" applyNumberFormat="1" applyFont="1" applyFill="1" applyBorder="1" applyAlignment="1"/>
    <xf numFmtId="185" fontId="2" fillId="3" borderId="0" xfId="7" applyNumberFormat="1" applyFont="1" applyFill="1" applyBorder="1"/>
    <xf numFmtId="186" fontId="10" fillId="3" borderId="0" xfId="3" applyNumberFormat="1" applyFont="1" applyFill="1" applyBorder="1" applyAlignment="1"/>
    <xf numFmtId="176" fontId="8" fillId="3" borderId="0" xfId="3" applyNumberFormat="1" applyFont="1" applyFill="1" applyBorder="1"/>
    <xf numFmtId="1" fontId="33" fillId="0" borderId="0" xfId="3" applyNumberFormat="1" applyFont="1" applyBorder="1"/>
    <xf numFmtId="0" fontId="33" fillId="0" borderId="0" xfId="3" applyFont="1" applyFill="1" applyBorder="1"/>
    <xf numFmtId="183" fontId="44" fillId="0" borderId="4" xfId="14" applyNumberFormat="1" applyFont="1" applyFill="1" applyBorder="1" applyAlignment="1"/>
    <xf numFmtId="184" fontId="45" fillId="3" borderId="0" xfId="3" applyNumberFormat="1" applyFont="1" applyFill="1" applyBorder="1" applyAlignment="1">
      <alignment horizontal="left"/>
    </xf>
    <xf numFmtId="184" fontId="45" fillId="3" borderId="0" xfId="3" applyNumberFormat="1" applyFont="1" applyFill="1" applyBorder="1" applyAlignment="1">
      <alignment horizontal="right"/>
    </xf>
    <xf numFmtId="184" fontId="2" fillId="3" borderId="0" xfId="3" applyNumberFormat="1" applyFont="1" applyFill="1" applyBorder="1" applyAlignment="1">
      <alignment horizontal="right"/>
    </xf>
    <xf numFmtId="3" fontId="45" fillId="3" borderId="0" xfId="3" applyNumberFormat="1" applyFont="1" applyFill="1" applyBorder="1" applyAlignment="1">
      <alignment horizontal="right"/>
    </xf>
    <xf numFmtId="170" fontId="2" fillId="3" borderId="0" xfId="3" applyNumberFormat="1" applyFont="1" applyFill="1" applyBorder="1" applyAlignment="1">
      <alignment horizontal="right"/>
    </xf>
    <xf numFmtId="187" fontId="10" fillId="9" borderId="4" xfId="3" applyNumberFormat="1" applyFont="1" applyFill="1" applyBorder="1" applyAlignment="1"/>
    <xf numFmtId="4" fontId="2" fillId="3" borderId="0" xfId="3" applyNumberFormat="1" applyFont="1" applyFill="1" applyBorder="1" applyAlignment="1">
      <alignment horizontal="right"/>
    </xf>
    <xf numFmtId="0" fontId="9" fillId="3" borderId="0" xfId="3" applyFont="1" applyFill="1" applyBorder="1" applyAlignment="1">
      <alignment horizontal="left" indent="1"/>
    </xf>
    <xf numFmtId="3" fontId="9" fillId="3" borderId="0" xfId="3" applyNumberFormat="1" applyFont="1" applyFill="1" applyAlignment="1">
      <alignment horizontal="right"/>
    </xf>
    <xf numFmtId="10" fontId="2" fillId="3" borderId="0" xfId="1" applyNumberFormat="1" applyFont="1" applyFill="1" applyBorder="1" applyAlignment="1"/>
    <xf numFmtId="186" fontId="2" fillId="3" borderId="0" xfId="1" applyNumberFormat="1" applyFont="1" applyFill="1" applyBorder="1"/>
    <xf numFmtId="3" fontId="2" fillId="13" borderId="0" xfId="1" applyNumberFormat="1" applyFont="1" applyFill="1" applyBorder="1"/>
    <xf numFmtId="10" fontId="10" fillId="3" borderId="14" xfId="1" applyNumberFormat="1" applyFont="1" applyFill="1" applyBorder="1" applyAlignment="1"/>
    <xf numFmtId="173" fontId="44" fillId="0" borderId="0" xfId="1" applyNumberFormat="1" applyFont="1" applyFill="1" applyBorder="1" applyAlignment="1"/>
    <xf numFmtId="173" fontId="2" fillId="0" borderId="0" xfId="1" applyNumberFormat="1" applyFont="1" applyFill="1" applyBorder="1" applyAlignment="1"/>
    <xf numFmtId="178" fontId="38" fillId="9" borderId="14" xfId="14" applyNumberFormat="1" applyFont="1" applyFill="1" applyBorder="1" applyAlignment="1"/>
    <xf numFmtId="9" fontId="9" fillId="3" borderId="15" xfId="1" applyNumberFormat="1" applyFont="1" applyFill="1" applyBorder="1" applyAlignment="1">
      <alignment horizontal="centerContinuous"/>
    </xf>
    <xf numFmtId="10" fontId="10" fillId="3" borderId="10" xfId="1" applyNumberFormat="1" applyFont="1" applyFill="1" applyBorder="1" applyAlignment="1"/>
    <xf numFmtId="170" fontId="49" fillId="0" borderId="13" xfId="3" applyNumberFormat="1" applyFont="1" applyBorder="1" applyAlignment="1">
      <alignment horizontal="left"/>
    </xf>
    <xf numFmtId="167" fontId="10" fillId="0" borderId="11" xfId="3" applyNumberFormat="1" applyFont="1" applyFill="1" applyBorder="1" applyAlignment="1"/>
    <xf numFmtId="9" fontId="9" fillId="0" borderId="11" xfId="1" applyFont="1" applyBorder="1" applyAlignment="1">
      <alignment horizontal="centerContinuous"/>
    </xf>
    <xf numFmtId="9" fontId="2" fillId="0" borderId="0" xfId="1" applyFont="1" applyBorder="1" applyAlignment="1"/>
    <xf numFmtId="167" fontId="10" fillId="9" borderId="4" xfId="3" applyNumberFormat="1" applyFont="1" applyFill="1" applyBorder="1" applyAlignment="1"/>
    <xf numFmtId="167" fontId="2" fillId="3" borderId="17" xfId="3" applyNumberFormat="1" applyFont="1" applyFill="1" applyBorder="1"/>
    <xf numFmtId="167" fontId="9" fillId="3" borderId="0" xfId="1" applyNumberFormat="1" applyFont="1" applyFill="1" applyBorder="1" applyAlignment="1">
      <alignment horizontal="centerContinuous"/>
    </xf>
    <xf numFmtId="43" fontId="9" fillId="0" borderId="0" xfId="9" applyFont="1" applyBorder="1" applyAlignment="1">
      <alignment horizontal="centerContinuous"/>
    </xf>
    <xf numFmtId="2" fontId="2" fillId="3" borderId="0" xfId="1" applyNumberFormat="1" applyFont="1" applyFill="1" applyBorder="1" applyAlignment="1"/>
    <xf numFmtId="0" fontId="2" fillId="0" borderId="0" xfId="3" quotePrefix="1" applyFont="1" applyBorder="1"/>
    <xf numFmtId="181" fontId="9" fillId="3" borderId="16" xfId="3" applyNumberFormat="1" applyFont="1" applyFill="1" applyBorder="1" applyAlignment="1"/>
    <xf numFmtId="1" fontId="9" fillId="3" borderId="16" xfId="3" applyNumberFormat="1" applyFont="1" applyFill="1" applyBorder="1" applyAlignment="1"/>
    <xf numFmtId="1" fontId="2" fillId="3" borderId="0" xfId="20" applyNumberFormat="1" applyFont="1" applyFill="1"/>
    <xf numFmtId="1" fontId="10" fillId="3" borderId="2" xfId="3" applyNumberFormat="1" applyFont="1" applyFill="1" applyBorder="1" applyAlignment="1"/>
    <xf numFmtId="1" fontId="2" fillId="3" borderId="2" xfId="3" applyNumberFormat="1" applyFont="1" applyFill="1" applyBorder="1" applyAlignment="1"/>
    <xf numFmtId="1" fontId="9" fillId="3" borderId="0" xfId="3" applyNumberFormat="1" applyFont="1" applyFill="1" applyBorder="1" applyAlignment="1"/>
    <xf numFmtId="0" fontId="2" fillId="3" borderId="0" xfId="2" applyFont="1" applyFill="1" applyAlignment="1"/>
    <xf numFmtId="0" fontId="2" fillId="3" borderId="18" xfId="3" applyFont="1" applyFill="1" applyBorder="1" applyAlignment="1"/>
    <xf numFmtId="0" fontId="2" fillId="3" borderId="16" xfId="3" applyFont="1" applyFill="1" applyBorder="1" applyAlignment="1"/>
    <xf numFmtId="0" fontId="2" fillId="3" borderId="19" xfId="3" applyFont="1" applyFill="1" applyBorder="1" applyAlignment="1"/>
    <xf numFmtId="0" fontId="2" fillId="3" borderId="20" xfId="3" applyFont="1" applyFill="1" applyBorder="1" applyAlignment="1"/>
    <xf numFmtId="0" fontId="2" fillId="3" borderId="21" xfId="3" applyFont="1" applyFill="1" applyBorder="1" applyAlignment="1"/>
    <xf numFmtId="0" fontId="2" fillId="3" borderId="17" xfId="3" applyFont="1" applyFill="1" applyBorder="1" applyAlignment="1"/>
    <xf numFmtId="183" fontId="2" fillId="9" borderId="2" xfId="3" applyNumberFormat="1" applyFont="1" applyFill="1" applyBorder="1" applyAlignment="1"/>
    <xf numFmtId="0" fontId="2" fillId="3" borderId="22" xfId="3" applyFont="1" applyFill="1" applyBorder="1" applyAlignment="1"/>
    <xf numFmtId="170" fontId="44" fillId="3" borderId="0" xfId="3" applyNumberFormat="1" applyFont="1" applyFill="1" applyBorder="1" applyAlignment="1"/>
    <xf numFmtId="10" fontId="2" fillId="0" borderId="0" xfId="1" applyNumberFormat="1" applyFont="1" applyBorder="1" applyAlignment="1"/>
    <xf numFmtId="181" fontId="10" fillId="9" borderId="0" xfId="3" applyNumberFormat="1" applyFont="1" applyFill="1" applyBorder="1" applyAlignment="1"/>
    <xf numFmtId="0" fontId="39" fillId="0" borderId="2" xfId="2" applyFont="1" applyBorder="1" applyAlignment="1">
      <alignment horizontal="center"/>
    </xf>
    <xf numFmtId="168" fontId="2" fillId="10" borderId="0" xfId="2" applyNumberFormat="1" applyFont="1" applyFill="1" applyBorder="1"/>
    <xf numFmtId="0" fontId="2" fillId="10" borderId="0" xfId="2" applyFont="1" applyFill="1" applyBorder="1"/>
    <xf numFmtId="9" fontId="2" fillId="10" borderId="4" xfId="2" applyNumberFormat="1" applyFont="1" applyFill="1" applyBorder="1"/>
    <xf numFmtId="166" fontId="9" fillId="0" borderId="0" xfId="3" applyNumberFormat="1" applyFont="1" applyBorder="1"/>
    <xf numFmtId="37" fontId="10" fillId="0" borderId="0" xfId="3" applyNumberFormat="1" applyFont="1"/>
    <xf numFmtId="37" fontId="38" fillId="11" borderId="0" xfId="3" applyNumberFormat="1" applyFont="1" applyFill="1"/>
    <xf numFmtId="37" fontId="2" fillId="3" borderId="0" xfId="3" applyNumberFormat="1" applyFont="1" applyFill="1" applyBorder="1"/>
    <xf numFmtId="167" fontId="10" fillId="0" borderId="0" xfId="3" applyNumberFormat="1" applyFont="1" applyBorder="1"/>
    <xf numFmtId="37" fontId="2" fillId="11" borderId="0" xfId="3" applyNumberFormat="1" applyFont="1" applyFill="1"/>
    <xf numFmtId="37" fontId="11" fillId="11" borderId="0" xfId="3" applyNumberFormat="1" applyFont="1" applyFill="1"/>
    <xf numFmtId="37" fontId="2" fillId="0" borderId="0" xfId="3" applyNumberFormat="1" applyFont="1" applyFill="1"/>
    <xf numFmtId="37" fontId="9" fillId="3" borderId="0" xfId="3" applyNumberFormat="1" applyFont="1" applyFill="1" applyBorder="1"/>
    <xf numFmtId="0" fontId="2" fillId="0" borderId="0" xfId="3" applyFont="1" applyAlignment="1">
      <alignment horizontal="left"/>
    </xf>
    <xf numFmtId="0" fontId="2" fillId="3" borderId="0" xfId="3" applyFont="1" applyFill="1" applyAlignment="1">
      <alignment horizontal="left" indent="1"/>
    </xf>
    <xf numFmtId="167" fontId="10" fillId="0" borderId="0" xfId="3" applyNumberFormat="1" applyFont="1" applyFill="1" applyBorder="1"/>
    <xf numFmtId="167" fontId="2" fillId="0" borderId="0" xfId="3" applyNumberFormat="1" applyFont="1" applyFill="1"/>
    <xf numFmtId="167" fontId="2" fillId="0" borderId="0" xfId="3" applyNumberFormat="1" applyFont="1" applyBorder="1"/>
    <xf numFmtId="0" fontId="44" fillId="0" borderId="0" xfId="3" applyFont="1"/>
    <xf numFmtId="37" fontId="10" fillId="0" borderId="0" xfId="3" applyNumberFormat="1" applyFont="1" applyFill="1"/>
    <xf numFmtId="37" fontId="44" fillId="0" borderId="0" xfId="3" applyNumberFormat="1" applyFont="1" applyFill="1"/>
    <xf numFmtId="167" fontId="2" fillId="0" borderId="0" xfId="2" applyNumberFormat="1" applyFont="1"/>
    <xf numFmtId="0" fontId="45" fillId="0" borderId="0" xfId="3" applyFont="1" applyBorder="1"/>
    <xf numFmtId="0" fontId="2" fillId="0" borderId="23" xfId="3" applyFont="1" applyBorder="1"/>
    <xf numFmtId="0" fontId="2" fillId="0" borderId="7" xfId="3" applyFont="1" applyBorder="1"/>
    <xf numFmtId="0" fontId="9" fillId="0" borderId="24" xfId="3" applyFont="1" applyBorder="1" applyAlignment="1">
      <alignment horizontal="center"/>
    </xf>
    <xf numFmtId="0" fontId="9" fillId="0" borderId="25" xfId="3" applyFont="1" applyBorder="1" applyAlignment="1">
      <alignment horizontal="centerContinuous"/>
    </xf>
    <xf numFmtId="166" fontId="9" fillId="0" borderId="26" xfId="3" applyNumberFormat="1" applyFont="1" applyBorder="1" applyAlignment="1">
      <alignment horizontal="center"/>
    </xf>
    <xf numFmtId="166" fontId="9" fillId="0" borderId="25" xfId="3" applyNumberFormat="1" applyFont="1" applyBorder="1"/>
    <xf numFmtId="0" fontId="9" fillId="0" borderId="24" xfId="3" applyFont="1" applyBorder="1"/>
    <xf numFmtId="166" fontId="9" fillId="0" borderId="27" xfId="3" applyNumberFormat="1" applyFont="1" applyBorder="1"/>
    <xf numFmtId="0" fontId="2" fillId="0" borderId="24" xfId="3" applyFont="1" applyBorder="1" applyAlignment="1">
      <alignment horizontal="right"/>
    </xf>
    <xf numFmtId="37" fontId="2" fillId="0" borderId="27" xfId="3" applyNumberFormat="1" applyFont="1" applyBorder="1"/>
    <xf numFmtId="37" fontId="2" fillId="3" borderId="27" xfId="3" applyNumberFormat="1" applyFont="1" applyFill="1" applyBorder="1"/>
    <xf numFmtId="167" fontId="2" fillId="0" borderId="0" xfId="1" applyNumberFormat="1" applyFont="1" applyBorder="1"/>
    <xf numFmtId="0" fontId="2" fillId="0" borderId="24" xfId="3" applyFont="1" applyBorder="1"/>
    <xf numFmtId="167" fontId="2" fillId="0" borderId="27" xfId="1" applyNumberFormat="1" applyFont="1" applyBorder="1"/>
    <xf numFmtId="166" fontId="2" fillId="0" borderId="0" xfId="3" applyNumberFormat="1" applyFont="1" applyBorder="1" applyAlignment="1">
      <alignment horizontal="left"/>
    </xf>
    <xf numFmtId="0" fontId="10" fillId="0" borderId="0" xfId="3" applyFont="1" applyFill="1"/>
    <xf numFmtId="0" fontId="10" fillId="0" borderId="0" xfId="3" applyFont="1" applyFill="1" applyAlignment="1">
      <alignment horizontal="left"/>
    </xf>
    <xf numFmtId="0" fontId="10" fillId="0" borderId="0" xfId="3" applyFont="1"/>
    <xf numFmtId="0" fontId="10" fillId="3" borderId="0" xfId="3" applyFont="1" applyFill="1" applyAlignment="1">
      <alignment horizontal="left"/>
    </xf>
    <xf numFmtId="0" fontId="8" fillId="3" borderId="0" xfId="3" applyFont="1" applyFill="1"/>
    <xf numFmtId="0" fontId="8" fillId="3" borderId="24" xfId="3" applyFont="1" applyFill="1" applyBorder="1"/>
    <xf numFmtId="0" fontId="10" fillId="0" borderId="0" xfId="3" applyFont="1" applyBorder="1"/>
    <xf numFmtId="0" fontId="10" fillId="3" borderId="0" xfId="3" applyFont="1" applyFill="1" applyBorder="1" applyAlignment="1">
      <alignment horizontal="left"/>
    </xf>
    <xf numFmtId="0" fontId="2" fillId="0" borderId="24" xfId="3" applyFont="1" applyBorder="1" applyAlignment="1">
      <alignment horizontal="center"/>
    </xf>
    <xf numFmtId="0" fontId="10" fillId="0" borderId="2" xfId="3" applyFont="1" applyBorder="1"/>
    <xf numFmtId="0" fontId="10" fillId="3" borderId="2" xfId="3" applyFont="1" applyFill="1" applyBorder="1" applyAlignment="1">
      <alignment horizontal="left"/>
    </xf>
    <xf numFmtId="0" fontId="2" fillId="0" borderId="2" xfId="3" applyFont="1" applyBorder="1"/>
    <xf numFmtId="0" fontId="2" fillId="0" borderId="16" xfId="3" applyFont="1" applyBorder="1"/>
    <xf numFmtId="0" fontId="2" fillId="0" borderId="16" xfId="3" applyFont="1" applyBorder="1" applyAlignment="1">
      <alignment horizontal="left"/>
    </xf>
    <xf numFmtId="37" fontId="2" fillId="0" borderId="16" xfId="3" applyNumberFormat="1" applyFont="1" applyBorder="1"/>
    <xf numFmtId="37" fontId="2" fillId="0" borderId="28" xfId="3" applyNumberFormat="1" applyFont="1" applyBorder="1"/>
    <xf numFmtId="166" fontId="2" fillId="0" borderId="27" xfId="3" applyNumberFormat="1" applyFont="1" applyBorder="1"/>
    <xf numFmtId="37" fontId="2" fillId="0" borderId="29" xfId="3" applyNumberFormat="1" applyFont="1" applyBorder="1"/>
    <xf numFmtId="37" fontId="2" fillId="0" borderId="30" xfId="3" applyNumberFormat="1" applyFont="1" applyBorder="1"/>
    <xf numFmtId="0" fontId="9" fillId="3" borderId="0" xfId="3" applyFont="1" applyFill="1"/>
    <xf numFmtId="166" fontId="2" fillId="3" borderId="0" xfId="3" applyNumberFormat="1" applyFont="1" applyFill="1" applyBorder="1" applyAlignment="1">
      <alignment horizontal="left"/>
    </xf>
    <xf numFmtId="37" fontId="2" fillId="3" borderId="16" xfId="3" applyNumberFormat="1" applyFont="1" applyFill="1" applyBorder="1"/>
    <xf numFmtId="0" fontId="35" fillId="3" borderId="0" xfId="3" applyFont="1" applyFill="1"/>
    <xf numFmtId="0" fontId="2" fillId="3" borderId="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Continuous"/>
    </xf>
    <xf numFmtId="0" fontId="40" fillId="3" borderId="0" xfId="3" applyFont="1" applyFill="1"/>
    <xf numFmtId="166" fontId="9" fillId="3" borderId="2" xfId="3" applyNumberFormat="1" applyFont="1" applyFill="1" applyBorder="1" applyAlignment="1">
      <alignment horizontal="center"/>
    </xf>
    <xf numFmtId="166" fontId="2" fillId="3" borderId="0" xfId="3" applyNumberFormat="1" applyFont="1" applyFill="1" applyBorder="1"/>
    <xf numFmtId="0" fontId="4" fillId="2" borderId="0" xfId="2" applyFont="1" applyFill="1" applyBorder="1"/>
    <xf numFmtId="0" fontId="5" fillId="2" borderId="0" xfId="2" applyFont="1" applyFill="1" applyBorder="1"/>
    <xf numFmtId="0" fontId="6" fillId="2" borderId="0" xfId="2" applyFont="1" applyFill="1" applyBorder="1" applyAlignment="1">
      <alignment horizontal="right"/>
    </xf>
    <xf numFmtId="0" fontId="8" fillId="0" borderId="0" xfId="2" applyFont="1" applyBorder="1"/>
    <xf numFmtId="0" fontId="2" fillId="0" borderId="0" xfId="3" applyFont="1" applyBorder="1" applyAlignment="1">
      <alignment horizontal="centerContinuous"/>
    </xf>
    <xf numFmtId="0" fontId="2" fillId="0" borderId="0" xfId="2" applyFont="1" applyBorder="1" applyAlignment="1"/>
    <xf numFmtId="169" fontId="2" fillId="0" borderId="0" xfId="3" applyNumberFormat="1" applyFont="1" applyBorder="1"/>
    <xf numFmtId="0" fontId="35" fillId="0" borderId="0" xfId="3" applyFont="1"/>
    <xf numFmtId="0" fontId="2" fillId="0" borderId="0" xfId="3" quotePrefix="1" applyFont="1"/>
    <xf numFmtId="37" fontId="35" fillId="0" borderId="0" xfId="3" applyNumberFormat="1" applyFont="1"/>
    <xf numFmtId="0" fontId="9" fillId="0" borderId="0" xfId="3" applyFont="1" applyBorder="1" applyAlignment="1">
      <alignment horizontal="left" indent="12"/>
    </xf>
    <xf numFmtId="166" fontId="9" fillId="0" borderId="2" xfId="3" applyNumberFormat="1" applyFont="1" applyBorder="1" applyAlignment="1">
      <alignment horizontal="left" indent="4"/>
    </xf>
    <xf numFmtId="0" fontId="2" fillId="0" borderId="0" xfId="2" applyFont="1" applyBorder="1" applyAlignment="1">
      <alignment horizontal="center" wrapText="1"/>
    </xf>
    <xf numFmtId="0" fontId="2" fillId="0" borderId="0" xfId="3" applyNumberFormat="1" applyFont="1"/>
    <xf numFmtId="188" fontId="10" fillId="0" borderId="0" xfId="15" applyNumberFormat="1" applyFont="1" applyFill="1"/>
    <xf numFmtId="188" fontId="2" fillId="0" borderId="0" xfId="14" applyNumberFormat="1" applyFont="1" applyFill="1"/>
    <xf numFmtId="188" fontId="2" fillId="0" borderId="0" xfId="15" applyNumberFormat="1" applyFont="1" applyFill="1"/>
    <xf numFmtId="9" fontId="2" fillId="0" borderId="0" xfId="1" applyFont="1" applyFill="1" applyBorder="1"/>
    <xf numFmtId="169" fontId="2" fillId="0" borderId="0" xfId="1" applyNumberFormat="1" applyFont="1" applyFill="1" applyBorder="1"/>
    <xf numFmtId="169" fontId="2" fillId="0" borderId="0" xfId="3" applyNumberFormat="1" applyFont="1" applyFill="1" applyBorder="1"/>
    <xf numFmtId="166" fontId="2" fillId="0" borderId="0" xfId="3" applyNumberFormat="1" applyFont="1" applyFill="1" applyBorder="1"/>
    <xf numFmtId="39" fontId="10" fillId="0" borderId="0" xfId="3" applyNumberFormat="1" applyFont="1" applyFill="1"/>
    <xf numFmtId="0" fontId="2" fillId="3" borderId="0" xfId="2" applyFont="1" applyFill="1" applyBorder="1" applyAlignment="1">
      <alignment horizontal="center" wrapText="1"/>
    </xf>
    <xf numFmtId="185" fontId="2" fillId="0" borderId="0" xfId="7" applyNumberFormat="1" applyFont="1" applyFill="1"/>
    <xf numFmtId="1" fontId="2" fillId="0" borderId="0" xfId="15" applyNumberFormat="1" applyFont="1" applyFill="1"/>
    <xf numFmtId="37" fontId="2" fillId="0" borderId="0" xfId="3" applyNumberFormat="1" applyFont="1" applyFill="1" applyBorder="1"/>
    <xf numFmtId="39" fontId="2" fillId="3" borderId="0" xfId="3" applyNumberFormat="1" applyFont="1" applyFill="1" applyBorder="1"/>
    <xf numFmtId="37" fontId="10" fillId="3" borderId="0" xfId="3" applyNumberFormat="1" applyFont="1" applyFill="1"/>
    <xf numFmtId="1" fontId="2" fillId="0" borderId="0" xfId="15" applyNumberFormat="1" applyFont="1"/>
    <xf numFmtId="169" fontId="2" fillId="0" borderId="0" xfId="1" applyNumberFormat="1" applyFont="1" applyBorder="1"/>
    <xf numFmtId="39" fontId="10" fillId="0" borderId="0" xfId="3" applyNumberFormat="1" applyFont="1"/>
    <xf numFmtId="0" fontId="9" fillId="0" borderId="13" xfId="3" applyFont="1" applyBorder="1"/>
    <xf numFmtId="0" fontId="2" fillId="0" borderId="3" xfId="3" applyFont="1" applyBorder="1"/>
    <xf numFmtId="165" fontId="9" fillId="0" borderId="3" xfId="15" applyFont="1" applyBorder="1" applyAlignment="1">
      <alignment horizontal="center"/>
    </xf>
    <xf numFmtId="167" fontId="9" fillId="0" borderId="3" xfId="1" applyNumberFormat="1" applyFont="1" applyBorder="1" applyAlignment="1">
      <alignment horizontal="center"/>
    </xf>
    <xf numFmtId="169" fontId="9" fillId="0" borderId="3" xfId="15" applyNumberFormat="1" applyFont="1" applyBorder="1" applyAlignment="1">
      <alignment horizontal="center"/>
    </xf>
    <xf numFmtId="2" fontId="9" fillId="0" borderId="3" xfId="15" applyNumberFormat="1" applyFont="1" applyBorder="1" applyAlignment="1">
      <alignment horizontal="center"/>
    </xf>
    <xf numFmtId="2" fontId="9" fillId="0" borderId="14" xfId="15" applyNumberFormat="1" applyFont="1" applyBorder="1" applyAlignment="1">
      <alignment horizontal="center"/>
    </xf>
    <xf numFmtId="0" fontId="40" fillId="0" borderId="0" xfId="3" applyFont="1"/>
    <xf numFmtId="0" fontId="9" fillId="0" borderId="0" xfId="3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quotePrefix="1" applyAlignment="1">
      <alignment wrapText="1"/>
    </xf>
    <xf numFmtId="0" fontId="0" fillId="0" borderId="0" xfId="0" quotePrefix="1"/>
    <xf numFmtId="0" fontId="52" fillId="0" borderId="0" xfId="0" applyFont="1" applyAlignment="1">
      <alignment horizontal="left"/>
    </xf>
    <xf numFmtId="0" fontId="52" fillId="0" borderId="0" xfId="0" applyFont="1" applyAlignment="1">
      <alignment horizontal="center"/>
    </xf>
    <xf numFmtId="0" fontId="52" fillId="0" borderId="0" xfId="0" applyFont="1" applyAlignment="1">
      <alignment horizontal="center" vertical="top"/>
    </xf>
    <xf numFmtId="0" fontId="54" fillId="0" borderId="0" xfId="0" applyFont="1"/>
    <xf numFmtId="0" fontId="54" fillId="0" borderId="0" xfId="0" applyFont="1" applyAlignment="1">
      <alignment horizontal="center"/>
    </xf>
    <xf numFmtId="0" fontId="53" fillId="14" borderId="0" xfId="0" applyFont="1" applyFill="1" applyAlignment="1">
      <alignment horizontal="center" vertical="top"/>
    </xf>
    <xf numFmtId="0" fontId="0" fillId="0" borderId="0" xfId="0" quotePrefix="1" applyAlignment="1">
      <alignment vertical="top" wrapText="1"/>
    </xf>
    <xf numFmtId="10" fontId="2" fillId="0" borderId="0" xfId="1" applyNumberFormat="1" applyFont="1"/>
    <xf numFmtId="9" fontId="2" fillId="0" borderId="0" xfId="1" applyAlignment="1">
      <alignment horizontal="center"/>
    </xf>
    <xf numFmtId="0" fontId="0" fillId="0" borderId="0" xfId="0" applyBorder="1"/>
    <xf numFmtId="0" fontId="0" fillId="15" borderId="31" xfId="0" applyFill="1" applyBorder="1"/>
    <xf numFmtId="0" fontId="0" fillId="15" borderId="32" xfId="0" applyFill="1" applyBorder="1" applyAlignment="1">
      <alignment horizontal="right"/>
    </xf>
    <xf numFmtId="3" fontId="0" fillId="15" borderId="33" xfId="0" applyNumberFormat="1" applyFill="1" applyBorder="1"/>
    <xf numFmtId="0" fontId="0" fillId="16" borderId="20" xfId="0" applyFill="1" applyBorder="1"/>
    <xf numFmtId="0" fontId="0" fillId="16" borderId="21" xfId="0" applyFill="1" applyBorder="1"/>
    <xf numFmtId="0" fontId="0" fillId="3" borderId="0" xfId="0" applyFill="1" applyBorder="1" applyAlignment="1">
      <alignment horizontal="right"/>
    </xf>
    <xf numFmtId="0" fontId="0" fillId="3" borderId="21" xfId="0" applyFill="1" applyBorder="1" applyAlignment="1">
      <alignment horizontal="right"/>
    </xf>
    <xf numFmtId="0" fontId="0" fillId="3" borderId="22" xfId="0" applyFill="1" applyBorder="1" applyAlignment="1">
      <alignment horizontal="right"/>
    </xf>
    <xf numFmtId="166" fontId="9" fillId="3" borderId="3" xfId="3" applyNumberFormat="1" applyFont="1" applyFill="1" applyBorder="1" applyAlignment="1">
      <alignment horizontal="center"/>
    </xf>
    <xf numFmtId="0" fontId="0" fillId="3" borderId="21" xfId="0" applyFont="1" applyFill="1" applyBorder="1" applyAlignment="1">
      <alignment horizontal="right"/>
    </xf>
    <xf numFmtId="4" fontId="0" fillId="3" borderId="24" xfId="0" applyNumberFormat="1" applyFill="1" applyBorder="1"/>
    <xf numFmtId="4" fontId="0" fillId="3" borderId="27" xfId="0" applyNumberFormat="1" applyFill="1" applyBorder="1"/>
    <xf numFmtId="0" fontId="0" fillId="3" borderId="24" xfId="0" applyFill="1" applyBorder="1"/>
    <xf numFmtId="0" fontId="0" fillId="3" borderId="27" xfId="0" applyFill="1" applyBorder="1"/>
    <xf numFmtId="3" fontId="0" fillId="3" borderId="27" xfId="0" applyNumberFormat="1" applyFill="1" applyBorder="1"/>
    <xf numFmtId="3" fontId="0" fillId="3" borderId="24" xfId="0" applyNumberFormat="1" applyFill="1" applyBorder="1"/>
    <xf numFmtId="3" fontId="0" fillId="3" borderId="9" xfId="0" applyNumberFormat="1" applyFill="1" applyBorder="1"/>
    <xf numFmtId="0" fontId="0" fillId="0" borderId="0" xfId="0" applyFill="1"/>
    <xf numFmtId="0" fontId="0" fillId="3" borderId="0" xfId="0" applyFill="1" applyBorder="1"/>
    <xf numFmtId="3" fontId="0" fillId="3" borderId="26" xfId="0" applyNumberFormat="1" applyFill="1" applyBorder="1"/>
    <xf numFmtId="0" fontId="0" fillId="3" borderId="25" xfId="0" applyFill="1" applyBorder="1"/>
    <xf numFmtId="3" fontId="0" fillId="15" borderId="8" xfId="0" applyNumberFormat="1" applyFill="1" applyBorder="1"/>
    <xf numFmtId="3" fontId="0" fillId="15" borderId="9" xfId="0" applyNumberFormat="1" applyFill="1" applyBorder="1"/>
    <xf numFmtId="166" fontId="9" fillId="3" borderId="6" xfId="3" applyNumberFormat="1" applyFont="1" applyFill="1" applyBorder="1" applyAlignment="1">
      <alignment horizontal="right"/>
    </xf>
    <xf numFmtId="166" fontId="9" fillId="3" borderId="7" xfId="3" applyNumberFormat="1" applyFont="1" applyFill="1" applyBorder="1" applyAlignment="1">
      <alignment horizontal="right"/>
    </xf>
    <xf numFmtId="166" fontId="9" fillId="3" borderId="24" xfId="3" applyNumberFormat="1" applyFont="1" applyFill="1" applyBorder="1" applyAlignment="1">
      <alignment horizontal="right"/>
    </xf>
    <xf numFmtId="166" fontId="9" fillId="3" borderId="27" xfId="3" applyNumberFormat="1" applyFont="1" applyFill="1" applyBorder="1" applyAlignment="1">
      <alignment horizontal="right"/>
    </xf>
    <xf numFmtId="0" fontId="0" fillId="3" borderId="24" xfId="0" applyFill="1" applyBorder="1" applyAlignment="1">
      <alignment horizontal="right"/>
    </xf>
    <xf numFmtId="3" fontId="0" fillId="3" borderId="0" xfId="0" applyNumberFormat="1" applyFill="1" applyBorder="1"/>
    <xf numFmtId="0" fontId="0" fillId="3" borderId="8" xfId="0" applyFill="1" applyBorder="1"/>
    <xf numFmtId="0" fontId="0" fillId="15" borderId="37" xfId="0" applyFill="1" applyBorder="1" applyAlignment="1">
      <alignment horizontal="right"/>
    </xf>
    <xf numFmtId="10" fontId="0" fillId="3" borderId="27" xfId="1" applyNumberFormat="1" applyFont="1" applyFill="1" applyBorder="1"/>
    <xf numFmtId="0" fontId="0" fillId="3" borderId="34" xfId="0" applyFill="1" applyBorder="1"/>
    <xf numFmtId="0" fontId="0" fillId="3" borderId="36" xfId="0" applyFill="1" applyBorder="1" applyAlignment="1">
      <alignment horizontal="right"/>
    </xf>
    <xf numFmtId="10" fontId="0" fillId="3" borderId="9" xfId="1" applyNumberFormat="1" applyFont="1" applyFill="1" applyBorder="1"/>
    <xf numFmtId="0" fontId="0" fillId="3" borderId="9" xfId="0" applyFill="1" applyBorder="1"/>
    <xf numFmtId="9" fontId="0" fillId="3" borderId="27" xfId="1" applyFont="1" applyFill="1" applyBorder="1"/>
    <xf numFmtId="0" fontId="0" fillId="16" borderId="27" xfId="0" applyFill="1" applyBorder="1"/>
    <xf numFmtId="0" fontId="0" fillId="3" borderId="34" xfId="0" applyFill="1" applyBorder="1" applyAlignment="1">
      <alignment horizontal="right"/>
    </xf>
    <xf numFmtId="0" fontId="0" fillId="3" borderId="26" xfId="0" applyFill="1" applyBorder="1"/>
    <xf numFmtId="166" fontId="9" fillId="3" borderId="25" xfId="3" applyNumberFormat="1" applyFont="1" applyFill="1" applyBorder="1" applyAlignment="1">
      <alignment horizontal="center"/>
    </xf>
    <xf numFmtId="37" fontId="0" fillId="3" borderId="0" xfId="0" applyNumberFormat="1" applyFill="1" applyBorder="1"/>
    <xf numFmtId="37" fontId="0" fillId="3" borderId="27" xfId="0" applyNumberFormat="1" applyFill="1" applyBorder="1"/>
    <xf numFmtId="3" fontId="0" fillId="3" borderId="34" xfId="0" applyNumberFormat="1" applyFill="1" applyBorder="1"/>
    <xf numFmtId="9" fontId="2" fillId="0" borderId="0" xfId="1" applyNumberFormat="1" applyFont="1" applyFill="1" applyBorder="1" applyAlignment="1">
      <alignment horizontal="right"/>
    </xf>
    <xf numFmtId="0" fontId="0" fillId="0" borderId="0" xfId="0" applyFill="1" applyBorder="1"/>
    <xf numFmtId="166" fontId="9" fillId="0" borderId="0" xfId="3" applyNumberFormat="1" applyFont="1" applyFill="1" applyBorder="1" applyAlignment="1">
      <alignment horizontal="center"/>
    </xf>
    <xf numFmtId="9" fontId="0" fillId="3" borderId="0" xfId="0" applyNumberFormat="1" applyFill="1" applyBorder="1"/>
    <xf numFmtId="9" fontId="0" fillId="3" borderId="34" xfId="0" applyNumberFormat="1" applyFill="1" applyBorder="1"/>
    <xf numFmtId="0" fontId="0" fillId="3" borderId="2" xfId="0" applyFill="1" applyBorder="1" applyAlignment="1">
      <alignment horizontal="right"/>
    </xf>
    <xf numFmtId="0" fontId="0" fillId="3" borderId="2" xfId="0" applyFill="1" applyBorder="1" applyAlignment="1">
      <alignment horizontal="right" wrapText="1"/>
    </xf>
    <xf numFmtId="0" fontId="0" fillId="3" borderId="25" xfId="0" applyFill="1" applyBorder="1" applyAlignment="1">
      <alignment horizontal="right" wrapText="1"/>
    </xf>
    <xf numFmtId="167" fontId="0" fillId="3" borderId="27" xfId="1" applyNumberFormat="1" applyFont="1" applyFill="1" applyBorder="1"/>
    <xf numFmtId="167" fontId="0" fillId="3" borderId="0" xfId="1" applyNumberFormat="1" applyFont="1" applyFill="1" applyBorder="1" applyAlignment="1">
      <alignment horizontal="left"/>
    </xf>
    <xf numFmtId="0" fontId="56" fillId="3" borderId="0" xfId="0" applyFont="1" applyFill="1"/>
    <xf numFmtId="0" fontId="56" fillId="3" borderId="0" xfId="0" applyFont="1" applyFill="1" applyBorder="1"/>
    <xf numFmtId="0" fontId="56" fillId="3" borderId="24" xfId="0" applyFont="1" applyFill="1" applyBorder="1"/>
    <xf numFmtId="0" fontId="56" fillId="3" borderId="34" xfId="0" applyFont="1" applyFill="1" applyBorder="1" applyAlignment="1">
      <alignment horizontal="left" vertical="top"/>
    </xf>
    <xf numFmtId="0" fontId="57" fillId="3" borderId="34" xfId="0" applyFont="1" applyFill="1" applyBorder="1" applyAlignment="1">
      <alignment horizontal="left" vertical="top"/>
    </xf>
    <xf numFmtId="0" fontId="56" fillId="3" borderId="27" xfId="0" applyFont="1" applyFill="1" applyBorder="1"/>
    <xf numFmtId="0" fontId="56" fillId="3" borderId="0" xfId="0" applyFont="1" applyFill="1" applyBorder="1" applyAlignment="1">
      <alignment horizontal="left" vertical="top"/>
    </xf>
    <xf numFmtId="0" fontId="57" fillId="3" borderId="0" xfId="0" applyFont="1" applyFill="1" applyBorder="1" applyAlignment="1">
      <alignment horizontal="left" vertical="top"/>
    </xf>
    <xf numFmtId="0" fontId="56" fillId="3" borderId="0" xfId="0" applyFont="1" applyFill="1" applyBorder="1" applyAlignment="1">
      <alignment vertical="top"/>
    </xf>
    <xf numFmtId="0" fontId="57" fillId="3" borderId="0" xfId="0" applyFont="1" applyFill="1" applyBorder="1" applyAlignment="1">
      <alignment horizontal="center" vertical="top"/>
    </xf>
    <xf numFmtId="0" fontId="57" fillId="3" borderId="2" xfId="0" applyFont="1" applyFill="1" applyBorder="1" applyAlignment="1">
      <alignment horizontal="center" vertical="top"/>
    </xf>
    <xf numFmtId="0" fontId="56" fillId="3" borderId="2" xfId="0" applyFont="1" applyFill="1" applyBorder="1" applyAlignment="1">
      <alignment horizontal="left" vertical="top"/>
    </xf>
    <xf numFmtId="0" fontId="56" fillId="3" borderId="2" xfId="0" quotePrefix="1" applyFont="1" applyFill="1" applyBorder="1" applyAlignment="1">
      <alignment vertical="top" wrapText="1"/>
    </xf>
    <xf numFmtId="0" fontId="57" fillId="3" borderId="3" xfId="0" applyFont="1" applyFill="1" applyBorder="1" applyAlignment="1">
      <alignment horizontal="center" vertical="top"/>
    </xf>
    <xf numFmtId="0" fontId="56" fillId="3" borderId="3" xfId="0" applyFont="1" applyFill="1" applyBorder="1" applyAlignment="1">
      <alignment horizontal="left" vertical="top"/>
    </xf>
    <xf numFmtId="0" fontId="56" fillId="3" borderId="3" xfId="0" quotePrefix="1" applyFont="1" applyFill="1" applyBorder="1" applyAlignment="1">
      <alignment vertical="top" wrapText="1"/>
    </xf>
    <xf numFmtId="0" fontId="56" fillId="3" borderId="0" xfId="0" quotePrefix="1" applyFont="1" applyFill="1" applyBorder="1" applyAlignment="1">
      <alignment vertical="top" wrapText="1"/>
    </xf>
    <xf numFmtId="0" fontId="57" fillId="3" borderId="34" xfId="0" applyFont="1" applyFill="1" applyBorder="1" applyAlignment="1">
      <alignment horizontal="center" vertical="top"/>
    </xf>
    <xf numFmtId="0" fontId="56" fillId="3" borderId="34" xfId="0" quotePrefix="1" applyFont="1" applyFill="1" applyBorder="1" applyAlignment="1">
      <alignment vertical="top" wrapText="1"/>
    </xf>
    <xf numFmtId="0" fontId="56" fillId="3" borderId="2" xfId="0" quotePrefix="1" applyFont="1" applyFill="1" applyBorder="1" applyAlignment="1">
      <alignment vertical="top"/>
    </xf>
    <xf numFmtId="0" fontId="56" fillId="3" borderId="8" xfId="0" applyFont="1" applyFill="1" applyBorder="1"/>
    <xf numFmtId="0" fontId="56" fillId="3" borderId="34" xfId="0" applyFont="1" applyFill="1" applyBorder="1"/>
    <xf numFmtId="0" fontId="56" fillId="3" borderId="9" xfId="0" applyFont="1" applyFill="1" applyBorder="1"/>
    <xf numFmtId="0" fontId="0" fillId="3" borderId="0" xfId="0" applyFill="1"/>
    <xf numFmtId="3" fontId="0" fillId="3" borderId="0" xfId="0" applyNumberFormat="1" applyFill="1"/>
    <xf numFmtId="0" fontId="55" fillId="3" borderId="0" xfId="0" applyFont="1" applyFill="1" applyBorder="1" applyAlignment="1">
      <alignment vertical="center"/>
    </xf>
    <xf numFmtId="0" fontId="2" fillId="0" borderId="0" xfId="3" applyFont="1" applyBorder="1" applyAlignment="1">
      <alignment vertical="center" textRotation="180"/>
    </xf>
    <xf numFmtId="0" fontId="2" fillId="0" borderId="0" xfId="3" applyBorder="1" applyAlignment="1">
      <alignment vertical="center" textRotation="180"/>
    </xf>
    <xf numFmtId="0" fontId="2" fillId="0" borderId="0" xfId="3" applyFont="1" applyBorder="1" applyAlignment="1">
      <alignment vertical="center" textRotation="180" wrapText="1"/>
    </xf>
    <xf numFmtId="0" fontId="2" fillId="0" borderId="0" xfId="3" applyBorder="1" applyAlignment="1">
      <alignment vertical="center" textRotation="180" wrapText="1"/>
    </xf>
    <xf numFmtId="0" fontId="55" fillId="14" borderId="6" xfId="0" applyFont="1" applyFill="1" applyBorder="1" applyAlignment="1">
      <alignment horizontal="center" vertical="center"/>
    </xf>
    <xf numFmtId="0" fontId="55" fillId="14" borderId="23" xfId="0" applyFont="1" applyFill="1" applyBorder="1" applyAlignment="1">
      <alignment horizontal="center" vertical="center"/>
    </xf>
    <xf numFmtId="0" fontId="55" fillId="14" borderId="7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3" fontId="0" fillId="3" borderId="20" xfId="0" applyNumberFormat="1" applyFill="1" applyBorder="1" applyAlignment="1">
      <alignment horizontal="center"/>
    </xf>
    <xf numFmtId="3" fontId="0" fillId="3" borderId="27" xfId="0" applyNumberFormat="1" applyFill="1" applyBorder="1" applyAlignment="1">
      <alignment horizontal="center"/>
    </xf>
    <xf numFmtId="9" fontId="0" fillId="3" borderId="20" xfId="0" applyNumberForma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/>
    </xf>
    <xf numFmtId="3" fontId="0" fillId="3" borderId="21" xfId="0" applyNumberFormat="1" applyFill="1" applyBorder="1" applyAlignment="1">
      <alignment horizontal="center"/>
    </xf>
    <xf numFmtId="0" fontId="0" fillId="3" borderId="24" xfId="0" applyFill="1" applyBorder="1" applyAlignment="1">
      <alignment horizontal="right" vertical="distributed"/>
    </xf>
    <xf numFmtId="0" fontId="0" fillId="3" borderId="0" xfId="0" applyFill="1" applyBorder="1" applyAlignment="1">
      <alignment horizontal="right" vertical="distributed"/>
    </xf>
    <xf numFmtId="3" fontId="0" fillId="3" borderId="20" xfId="0" applyNumberForma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167" fontId="0" fillId="3" borderId="20" xfId="1" applyNumberFormat="1" applyFont="1" applyFill="1" applyBorder="1" applyAlignment="1">
      <alignment horizontal="center"/>
    </xf>
    <xf numFmtId="167" fontId="0" fillId="3" borderId="21" xfId="1" applyNumberFormat="1" applyFont="1" applyFill="1" applyBorder="1" applyAlignment="1">
      <alignment horizontal="center"/>
    </xf>
    <xf numFmtId="167" fontId="0" fillId="3" borderId="27" xfId="1" applyNumberFormat="1" applyFont="1" applyFill="1" applyBorder="1" applyAlignment="1">
      <alignment horizontal="center"/>
    </xf>
    <xf numFmtId="167" fontId="0" fillId="3" borderId="35" xfId="1" applyNumberFormat="1" applyFont="1" applyFill="1" applyBorder="1" applyAlignment="1">
      <alignment horizontal="center"/>
    </xf>
    <xf numFmtId="167" fontId="0" fillId="3" borderId="9" xfId="1" applyNumberFormat="1" applyFont="1" applyFill="1" applyBorder="1" applyAlignment="1">
      <alignment horizontal="center"/>
    </xf>
    <xf numFmtId="167" fontId="0" fillId="3" borderId="36" xfId="1" applyNumberFormat="1" applyFont="1" applyFill="1" applyBorder="1" applyAlignment="1">
      <alignment horizontal="center"/>
    </xf>
    <xf numFmtId="0" fontId="58" fillId="14" borderId="6" xfId="0" applyFont="1" applyFill="1" applyBorder="1" applyAlignment="1">
      <alignment horizontal="center" vertical="top"/>
    </xf>
    <xf numFmtId="0" fontId="58" fillId="14" borderId="23" xfId="0" applyFont="1" applyFill="1" applyBorder="1" applyAlignment="1">
      <alignment horizontal="center" vertical="top"/>
    </xf>
    <xf numFmtId="0" fontId="58" fillId="14" borderId="7" xfId="0" applyFont="1" applyFill="1" applyBorder="1" applyAlignment="1">
      <alignment horizontal="center" vertical="top"/>
    </xf>
  </cellXfs>
  <cellStyles count="101">
    <cellStyle name="ChartingText" xfId="4"/>
    <cellStyle name="ChartingText 2" xfId="5"/>
    <cellStyle name="ColumnHeaderNormal" xfId="6"/>
    <cellStyle name="Comma 2" xfId="7"/>
    <cellStyle name="Comma 2 2" xfId="8"/>
    <cellStyle name="Comma 2 3" xfId="9"/>
    <cellStyle name="Comma 2 3 2" xfId="10"/>
    <cellStyle name="Comma 2 4" xfId="11"/>
    <cellStyle name="Comma 3" xfId="12"/>
    <cellStyle name="Currency 2" xfId="13"/>
    <cellStyle name="Currency 3" xfId="14"/>
    <cellStyle name="Currency 4" xfId="15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Invisible" xfId="16"/>
    <cellStyle name="NewColumnHeaderNormal" xfId="17"/>
    <cellStyle name="NewSectionHeaderNormal" xfId="18"/>
    <cellStyle name="NewTitleNormal" xfId="19"/>
    <cellStyle name="Normal" xfId="0" builtinId="0"/>
    <cellStyle name="Normal 2" xfId="20"/>
    <cellStyle name="Normal 3" xfId="3"/>
    <cellStyle name="Normal 3 2" xfId="21"/>
    <cellStyle name="Normal 4" xfId="22"/>
    <cellStyle name="Normal 5" xfId="23"/>
    <cellStyle name="Normal_middle merger model" xfId="2"/>
    <cellStyle name="Percent" xfId="1" builtinId="5"/>
    <cellStyle name="Percent 2" xfId="24"/>
    <cellStyle name="Percent 2 2" xfId="25"/>
    <cellStyle name="Percent 2 3" xfId="26"/>
    <cellStyle name="Percent 2 4" xfId="27"/>
    <cellStyle name="Percent 3" xfId="28"/>
    <cellStyle name="Percent 4" xfId="29"/>
    <cellStyle name="Percent 4 2" xfId="30"/>
    <cellStyle name="SectionHeaderNormal" xfId="31"/>
    <cellStyle name="SubScript" xfId="32"/>
    <cellStyle name="SuperScript" xfId="33"/>
    <cellStyle name="Table_Header" xfId="34"/>
    <cellStyle name="TextBold" xfId="35"/>
    <cellStyle name="TextBold 2" xfId="36"/>
    <cellStyle name="TextItalic" xfId="37"/>
    <cellStyle name="TextNormal" xfId="38"/>
    <cellStyle name="TextNormal 2" xfId="39"/>
    <cellStyle name="TitleNormal" xfId="40"/>
    <cellStyle name="Total 2" xfId="41"/>
    <cellStyle name="Total 3" xfId="42"/>
    <cellStyle name="Underline_Double" xfId="43"/>
    <cellStyle name="WingDing" xfId="4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externalLink" Target="externalLinks/externalLink4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 Case pre-money</a:t>
            </a:r>
            <a:r>
              <a:rPr lang="en-US" baseline="0"/>
              <a:t> ownership structure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Valuation!$D$41:$D$42</c:f>
              <c:strCache>
                <c:ptCount val="2"/>
                <c:pt idx="0">
                  <c:v>Management</c:v>
                </c:pt>
                <c:pt idx="1">
                  <c:v>Convertibles</c:v>
                </c:pt>
              </c:strCache>
            </c:strRef>
          </c:cat>
          <c:val>
            <c:numRef>
              <c:f>Valuation!$E$41:$E$42</c:f>
              <c:numCache>
                <c:formatCode>0.00%</c:formatCode>
                <c:ptCount val="2"/>
                <c:pt idx="0">
                  <c:v>0.95095</c:v>
                </c:pt>
                <c:pt idx="1">
                  <c:v>0.04905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 Case pre-money</a:t>
            </a:r>
            <a:r>
              <a:rPr lang="en-US" baseline="0"/>
              <a:t> ownership structure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Valuation!$I$41:$I$43</c:f>
              <c:strCache>
                <c:ptCount val="3"/>
                <c:pt idx="0">
                  <c:v>Management</c:v>
                </c:pt>
                <c:pt idx="1">
                  <c:v>Convertibles</c:v>
                </c:pt>
                <c:pt idx="2">
                  <c:v>Angels</c:v>
                </c:pt>
              </c:strCache>
            </c:strRef>
          </c:cat>
          <c:val>
            <c:numRef>
              <c:f>Valuation!$J$41:$J$43</c:f>
              <c:numCache>
                <c:formatCode>0.00%</c:formatCode>
                <c:ptCount val="3"/>
                <c:pt idx="0">
                  <c:v>0.695309735996244</c:v>
                </c:pt>
                <c:pt idx="1">
                  <c:v>0.0358640754515125</c:v>
                </c:pt>
                <c:pt idx="2">
                  <c:v>0.268826188552243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Sensitivity analysis VC-method (in '000)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Valuation!$D$70</c:f>
              <c:strCache>
                <c:ptCount val="1"/>
                <c:pt idx="0">
                  <c:v>PV EV revenue-multiple (discounted by 10y)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Valuation!$C$71:$C$79</c:f>
              <c:numCache>
                <c:formatCode>0%</c:formatCode>
                <c:ptCount val="9"/>
                <c:pt idx="0" formatCode="General">
                  <c:v>0.0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</c:numCache>
            </c:numRef>
          </c:cat>
          <c:val>
            <c:numRef>
              <c:f>Valuation!$D$71:$D$79</c:f>
              <c:numCache>
                <c:formatCode>#,##0</c:formatCode>
                <c:ptCount val="9"/>
                <c:pt idx="0">
                  <c:v>802560.654686245</c:v>
                </c:pt>
                <c:pt idx="1">
                  <c:v>309421.8747744532</c:v>
                </c:pt>
                <c:pt idx="2">
                  <c:v>129618.0263395582</c:v>
                </c:pt>
                <c:pt idx="3">
                  <c:v>58216.26538358699</c:v>
                </c:pt>
                <c:pt idx="4">
                  <c:v>27745.81638981179</c:v>
                </c:pt>
                <c:pt idx="5">
                  <c:v>13917.62960251173</c:v>
                </c:pt>
                <c:pt idx="6">
                  <c:v>7299.246632885517</c:v>
                </c:pt>
                <c:pt idx="7">
                  <c:v>3980.96767310407</c:v>
                </c:pt>
                <c:pt idx="8">
                  <c:v>2247.774881398627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Valuation!$E$70</c:f>
              <c:strCache>
                <c:ptCount val="1"/>
                <c:pt idx="0">
                  <c:v>PV EV EBITDA-multiple (discounted by 10y)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Valuation!$C$71:$C$79</c:f>
              <c:numCache>
                <c:formatCode>0%</c:formatCode>
                <c:ptCount val="9"/>
                <c:pt idx="0" formatCode="General">
                  <c:v>0.0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</c:numCache>
            </c:numRef>
          </c:cat>
          <c:val>
            <c:numRef>
              <c:f>Valuation!$E$71:$E$79</c:f>
              <c:numCache>
                <c:formatCode>#,##0</c:formatCode>
                <c:ptCount val="9"/>
                <c:pt idx="0">
                  <c:v>664331.6860590901</c:v>
                </c:pt>
                <c:pt idx="1">
                  <c:v>256128.6235154884</c:v>
                </c:pt>
                <c:pt idx="2">
                  <c:v>107293.2761891674</c:v>
                </c:pt>
                <c:pt idx="3">
                  <c:v>48189.39168337556</c:v>
                </c:pt>
                <c:pt idx="4">
                  <c:v>22967.01797639908</c:v>
                </c:pt>
                <c:pt idx="5">
                  <c:v>11520.52780782923</c:v>
                </c:pt>
                <c:pt idx="6">
                  <c:v>6042.061486906181</c:v>
                </c:pt>
                <c:pt idx="7">
                  <c:v>3295.306031983188</c:v>
                </c:pt>
                <c:pt idx="8">
                  <c:v>1860.629558802136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74623664"/>
        <c:axId val="-1103926832"/>
      </c:lineChart>
      <c:catAx>
        <c:axId val="-107462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3926832"/>
        <c:crosses val="autoZero"/>
        <c:auto val="1"/>
        <c:lblAlgn val="ctr"/>
        <c:lblOffset val="100"/>
        <c:noMultiLvlLbl val="0"/>
      </c:catAx>
      <c:valAx>
        <c:axId val="-110392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7462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44</xdr:row>
      <xdr:rowOff>114300</xdr:rowOff>
    </xdr:from>
    <xdr:to>
      <xdr:col>4</xdr:col>
      <xdr:colOff>342900</xdr:colOff>
      <xdr:row>55</xdr:row>
      <xdr:rowOff>165100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44</xdr:row>
      <xdr:rowOff>101600</xdr:rowOff>
    </xdr:from>
    <xdr:to>
      <xdr:col>10</xdr:col>
      <xdr:colOff>12700</xdr:colOff>
      <xdr:row>55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165100</xdr:colOff>
      <xdr:row>66</xdr:row>
      <xdr:rowOff>190500</xdr:rowOff>
    </xdr:from>
    <xdr:to>
      <xdr:col>10</xdr:col>
      <xdr:colOff>609600</xdr:colOff>
      <xdr:row>76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frps/Library/Caches/TemporaryItems/Outlook%20Temp/Just%20Grapes%20Unit%20Model%20Examp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skaplan/Dropbox/Files/sk/wp/casedev/ZipFit/ZipFit%20me%20Financial%20Model%202Jan2013%20-%201.5MM%20Scenari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ersonal/Offline%20Analysis/EM/EM%20Model%20-%20Valuation%20-%20Rev10%20-%20Acct%20Mode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skaplan/Dropbox/Files/sk/wp/casedev/ZipFit/ZipFit%20Detailed%20Financial%20Model%202Jan2013%20-%201.5MM%20Scena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Qualitative"/>
      <sheetName val="Quantitative"/>
      <sheetName val="Gap"/>
      <sheetName val="VF"/>
      <sheetName val="Levi"/>
      <sheetName val="Diesel"/>
      <sheetName val="True Religion"/>
      <sheetName val="PVH"/>
      <sheetName val="Macys"/>
      <sheetName val="Nordstrom"/>
      <sheetName val="BonTon"/>
      <sheetName val="Neiman"/>
      <sheetName val="Amazon"/>
      <sheetName val="Bluefly"/>
      <sheetName val="Zappos"/>
      <sheetName val="Pandora"/>
      <sheetName val="Netflix"/>
      <sheetName val="Apple"/>
      <sheetName val="Analog Aggregation"/>
      <sheetName val="ZipFit_CTR"/>
      <sheetName val="Investment - Affiliate Model"/>
      <sheetName val="Assumptions - Affiliate Model"/>
      <sheetName val="Unit Model - Affiliate Model"/>
      <sheetName val="Investment - Search"/>
      <sheetName val="Dashboard"/>
      <sheetName val="Investment - eCommerce"/>
      <sheetName val="Assumptions - eCommerce"/>
      <sheetName val="24mos - Unit Model - eCommerce"/>
      <sheetName val="Unit Model - eCommerce"/>
      <sheetName val="Investment - Store"/>
      <sheetName val="Assumptions - Store"/>
      <sheetName val="24mos - Unit Model - Store"/>
      <sheetName val="Unit Model - Store"/>
      <sheetName val="Rollout"/>
      <sheetName val="Rollup"/>
      <sheetName val="Comparables"/>
      <sheetName val="CapTable"/>
      <sheetName val="Valuations"/>
      <sheetName val="Table of Returns"/>
      <sheetName val="VC Returns Matrix"/>
      <sheetName val="Master Retail"/>
      <sheetName val="Retailers"/>
    </sheetNames>
    <sheetDataSet>
      <sheetData sheetId="0" refreshError="1">
        <row r="7">
          <cell r="D7" t="str">
            <v>ZipFit.me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87">
          <cell r="L87">
            <v>2</v>
          </cell>
        </row>
        <row r="88">
          <cell r="K88">
            <v>0</v>
          </cell>
        </row>
        <row r="89">
          <cell r="K89">
            <v>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Qualitative"/>
      <sheetName val="Quantitative"/>
      <sheetName val="ATML"/>
      <sheetName val="MCHP"/>
      <sheetName val="NXP"/>
      <sheetName val="SLAB"/>
      <sheetName val="Zarlink"/>
      <sheetName val="EM"/>
      <sheetName val="FSL"/>
      <sheetName val="TXN"/>
      <sheetName val="Nuvoton"/>
      <sheetName val="NOD"/>
      <sheetName val="Analog Aggregation"/>
      <sheetName val="Investment - R&amp;D"/>
      <sheetName val="Assumptions - R&amp;D"/>
      <sheetName val="Unit Model - R&amp;D"/>
      <sheetName val="Investment - Channel"/>
      <sheetName val="Assumptions - Channel"/>
      <sheetName val="Unit Model - Channel"/>
      <sheetName val="Rollout"/>
      <sheetName val="Rollup"/>
    </sheetNames>
    <sheetDataSet>
      <sheetData sheetId="0">
        <row r="7">
          <cell r="D7" t="str">
            <v>Energy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52">
          <cell r="M52">
            <v>36263.89939454187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Qualitative"/>
      <sheetName val="Quantitative"/>
      <sheetName val="Gap"/>
      <sheetName val="VF"/>
      <sheetName val="Levi"/>
      <sheetName val="Diesel"/>
      <sheetName val="True Religion"/>
      <sheetName val="PVH"/>
      <sheetName val="Macys"/>
      <sheetName val="Nordstrom"/>
      <sheetName val="BonTon"/>
      <sheetName val="Neiman"/>
      <sheetName val="Amazon"/>
      <sheetName val="Bluefly"/>
      <sheetName val="Zappos"/>
      <sheetName val="Pandora"/>
      <sheetName val="Netflix"/>
      <sheetName val="Apple"/>
      <sheetName val="Analog Aggregation"/>
      <sheetName val="ZipFit_CTR"/>
      <sheetName val="Investment - Affiliate Model"/>
      <sheetName val="Assumptions - Affiliate Model"/>
      <sheetName val="Unit Model - Affiliate Model"/>
      <sheetName val="Investment - Search"/>
      <sheetName val="Dashboard"/>
      <sheetName val="Investment - eCommerce"/>
      <sheetName val="Assumptions - eCommerce"/>
      <sheetName val="24mos - Unit Model - eCommerce"/>
      <sheetName val="Unit Model - eCommerce"/>
      <sheetName val="Investment - Store"/>
      <sheetName val="Assumptions - Store"/>
      <sheetName val="24mos - Unit Model - Store"/>
      <sheetName val="Unit Model - Store"/>
      <sheetName val="Rollout"/>
      <sheetName val="Rollup"/>
      <sheetName val="Comparables"/>
      <sheetName val="CapTable"/>
      <sheetName val="Valuations"/>
      <sheetName val="Table of Returns"/>
      <sheetName val="VC Returns Matrix"/>
      <sheetName val="Master Retail"/>
      <sheetName val="Retailers"/>
    </sheetNames>
    <sheetDataSet>
      <sheetData sheetId="0">
        <row r="7">
          <cell r="F7" t="str">
            <v>ZipFit.me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/>
    <pageSetUpPr fitToPage="1"/>
  </sheetPr>
  <dimension ref="A1:BC221"/>
  <sheetViews>
    <sheetView showGridLines="0" topLeftCell="A108" zoomScale="110" zoomScaleNormal="70" zoomScalePageLayoutView="70" workbookViewId="0">
      <selection activeCell="S104" sqref="S104:AD104"/>
    </sheetView>
  </sheetViews>
  <sheetFormatPr baseColWidth="10" defaultColWidth="11.5" defaultRowHeight="13" outlineLevelRow="1" outlineLevelCol="1" x14ac:dyDescent="0.15"/>
  <cols>
    <col min="1" max="2" width="3.33203125" style="1" customWidth="1"/>
    <col min="3" max="3" width="3.83203125" style="1" customWidth="1"/>
    <col min="4" max="4" width="36.5" style="39" customWidth="1"/>
    <col min="5" max="5" width="9.83203125" style="39" customWidth="1"/>
    <col min="6" max="6" width="14.5" style="39" bestFit="1" customWidth="1"/>
    <col min="7" max="15" width="10.1640625" style="39" hidden="1" customWidth="1" outlineLevel="1"/>
    <col min="16" max="16" width="11.1640625" style="39" hidden="1" customWidth="1" outlineLevel="1"/>
    <col min="17" max="17" width="10.6640625" style="39" hidden="1" customWidth="1" outlineLevel="1"/>
    <col min="18" max="19" width="11.1640625" style="39" hidden="1" customWidth="1" outlineLevel="1"/>
    <col min="20" max="29" width="11.1640625" style="96" hidden="1" customWidth="1" outlineLevel="1"/>
    <col min="30" max="30" width="11.1640625" style="39" hidden="1" customWidth="1" outlineLevel="1"/>
    <col min="31" max="31" width="10.1640625" style="39" bestFit="1" customWidth="1" collapsed="1"/>
    <col min="32" max="32" width="10.6640625" style="39" bestFit="1" customWidth="1"/>
    <col min="33" max="33" width="11" style="39" bestFit="1" customWidth="1"/>
    <col min="34" max="36" width="11.5" style="39" bestFit="1" customWidth="1"/>
    <col min="37" max="37" width="11" style="39" bestFit="1" customWidth="1"/>
    <col min="38" max="38" width="12" style="39" bestFit="1" customWidth="1"/>
    <col min="39" max="39" width="11" style="39" bestFit="1" customWidth="1"/>
    <col min="40" max="40" width="12.1640625" style="39" customWidth="1"/>
    <col min="41" max="53" width="9.5" style="39" customWidth="1"/>
    <col min="54" max="63" width="10" style="39" customWidth="1"/>
    <col min="64" max="16384" width="11.5" style="39"/>
  </cols>
  <sheetData>
    <row r="1" spans="1:47" s="1" customFormat="1" ht="11.25" customHeight="1" x14ac:dyDescent="0.15">
      <c r="T1" s="19"/>
      <c r="U1" s="19"/>
      <c r="V1" s="19"/>
      <c r="W1" s="19"/>
      <c r="X1" s="19"/>
      <c r="Y1" s="19"/>
      <c r="Z1" s="19"/>
      <c r="AA1" s="19"/>
      <c r="AB1" s="19"/>
      <c r="AC1" s="19"/>
    </row>
    <row r="2" spans="1:47" s="1" customFormat="1" x14ac:dyDescent="0.15">
      <c r="T2" s="19"/>
      <c r="U2" s="19"/>
      <c r="V2" s="19"/>
      <c r="W2" s="19"/>
      <c r="X2" s="19"/>
      <c r="Y2" s="19"/>
      <c r="Z2" s="19"/>
      <c r="AA2" s="19"/>
      <c r="AB2" s="19"/>
      <c r="AC2" s="19"/>
      <c r="AN2" s="7"/>
    </row>
    <row r="3" spans="1:47" s="1" customFormat="1" ht="20" customHeight="1" x14ac:dyDescent="0.25">
      <c r="D3" s="4" t="s">
        <v>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90"/>
      <c r="U3" s="90"/>
      <c r="V3" s="90"/>
      <c r="W3" s="90"/>
      <c r="X3" s="90"/>
      <c r="Y3" s="90"/>
      <c r="Z3" s="90"/>
      <c r="AA3" s="90"/>
      <c r="AB3" s="90"/>
      <c r="AC3" s="90"/>
      <c r="AD3" s="5"/>
      <c r="AE3" s="5"/>
      <c r="AF3" s="5"/>
      <c r="AG3" s="5"/>
      <c r="AH3" s="5"/>
      <c r="AI3" s="5"/>
      <c r="AJ3" s="5"/>
      <c r="AK3" s="5"/>
      <c r="AL3" s="5"/>
      <c r="AM3" s="6"/>
      <c r="AN3" s="7" t="str">
        <f ca="1">UPPER(ProjName)&amp;"  |  "&amp;UPPER(TEXT(NOW(),"mmmm d, yyyy"))</f>
        <v>ZIPFIT.ME  |  SEPTEMBER 12, 2016</v>
      </c>
    </row>
    <row r="4" spans="1:47" s="1" customFormat="1" ht="3" customHeight="1" x14ac:dyDescent="0.2"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1"/>
      <c r="U4" s="91"/>
      <c r="V4" s="91"/>
      <c r="W4" s="91"/>
      <c r="X4" s="91"/>
      <c r="Y4" s="91"/>
      <c r="Z4" s="91"/>
      <c r="AA4" s="91"/>
      <c r="AB4" s="91"/>
      <c r="AC4" s="91"/>
      <c r="AD4" s="10"/>
      <c r="AE4" s="10"/>
      <c r="AF4" s="10"/>
      <c r="AG4" s="10"/>
      <c r="AH4" s="10"/>
      <c r="AI4" s="10"/>
      <c r="AJ4" s="10"/>
      <c r="AK4" s="11"/>
      <c r="AL4" s="11"/>
      <c r="AM4" s="11"/>
      <c r="AN4" s="11"/>
    </row>
    <row r="5" spans="1:47" s="1" customFormat="1" ht="2" customHeight="1" x14ac:dyDescent="0.15"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92"/>
      <c r="U5" s="92"/>
      <c r="V5" s="92"/>
      <c r="W5" s="92"/>
      <c r="X5" s="92"/>
      <c r="Y5" s="92"/>
      <c r="Z5" s="92"/>
      <c r="AA5" s="92"/>
      <c r="AB5" s="92"/>
      <c r="AC5" s="92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</row>
    <row r="6" spans="1:47" s="1" customFormat="1" ht="5.25" customHeight="1" x14ac:dyDescent="0.15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93"/>
      <c r="U6" s="93"/>
      <c r="V6" s="93"/>
      <c r="W6" s="93"/>
      <c r="X6" s="93"/>
      <c r="Y6" s="93"/>
      <c r="Z6" s="93"/>
      <c r="AA6" s="93"/>
      <c r="AB6" s="93"/>
      <c r="AC6" s="93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</row>
    <row r="7" spans="1:47" s="1" customFormat="1" ht="18" x14ac:dyDescent="0.2">
      <c r="D7" s="16" t="s">
        <v>68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90"/>
      <c r="U7" s="90"/>
      <c r="V7" s="90"/>
      <c r="W7" s="90"/>
      <c r="X7" s="90"/>
      <c r="Y7" s="90"/>
      <c r="Z7" s="90"/>
      <c r="AA7" s="90"/>
      <c r="AB7" s="90"/>
      <c r="AC7" s="90"/>
      <c r="AD7" s="5"/>
      <c r="AE7" s="94"/>
      <c r="AF7" s="94"/>
      <c r="AG7" s="94"/>
      <c r="AH7" s="94"/>
      <c r="AI7" s="94"/>
      <c r="AJ7" s="95"/>
      <c r="AK7" s="95"/>
      <c r="AL7" s="95"/>
      <c r="AM7" s="95"/>
      <c r="AN7" s="95"/>
    </row>
    <row r="8" spans="1:47" s="1" customFormat="1" x14ac:dyDescent="0.15">
      <c r="D8" s="19" t="s">
        <v>1</v>
      </c>
      <c r="T8" s="19"/>
      <c r="U8" s="19"/>
      <c r="V8" s="19"/>
      <c r="W8" s="19"/>
      <c r="X8" s="19"/>
      <c r="Y8" s="19"/>
      <c r="Z8" s="19"/>
      <c r="AA8" s="19"/>
      <c r="AB8" s="19"/>
      <c r="AC8" s="19"/>
    </row>
    <row r="9" spans="1:47" x14ac:dyDescent="0.15">
      <c r="D9" s="96"/>
      <c r="F9" s="20" t="s">
        <v>69</v>
      </c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8"/>
      <c r="U9" s="98"/>
      <c r="V9" s="98"/>
      <c r="W9" s="98"/>
      <c r="X9" s="98"/>
      <c r="Y9" s="98"/>
      <c r="Z9" s="98"/>
      <c r="AA9" s="98"/>
      <c r="AB9" s="98"/>
      <c r="AC9" s="98"/>
      <c r="AD9" s="97"/>
      <c r="AE9" s="20" t="s">
        <v>70</v>
      </c>
      <c r="AF9" s="97"/>
      <c r="AG9" s="97"/>
      <c r="AH9" s="97"/>
      <c r="AI9" s="97"/>
      <c r="AJ9" s="97"/>
      <c r="AK9" s="97"/>
      <c r="AL9" s="97"/>
      <c r="AM9" s="97"/>
      <c r="AN9" s="97"/>
    </row>
    <row r="10" spans="1:47" x14ac:dyDescent="0.15">
      <c r="D10" s="99" t="s">
        <v>71</v>
      </c>
      <c r="E10" s="100"/>
      <c r="F10" s="101">
        <v>0</v>
      </c>
      <c r="G10" s="102">
        <v>1</v>
      </c>
      <c r="H10" s="102">
        <f>G10+1</f>
        <v>2</v>
      </c>
      <c r="I10" s="102">
        <f t="shared" ref="I10:AD10" si="0">H10+1</f>
        <v>3</v>
      </c>
      <c r="J10" s="102">
        <f t="shared" si="0"/>
        <v>4</v>
      </c>
      <c r="K10" s="102">
        <f t="shared" si="0"/>
        <v>5</v>
      </c>
      <c r="L10" s="102">
        <f t="shared" si="0"/>
        <v>6</v>
      </c>
      <c r="M10" s="102">
        <f t="shared" si="0"/>
        <v>7</v>
      </c>
      <c r="N10" s="102">
        <f t="shared" si="0"/>
        <v>8</v>
      </c>
      <c r="O10" s="102">
        <f t="shared" si="0"/>
        <v>9</v>
      </c>
      <c r="P10" s="102">
        <f t="shared" si="0"/>
        <v>10</v>
      </c>
      <c r="Q10" s="102">
        <f t="shared" si="0"/>
        <v>11</v>
      </c>
      <c r="R10" s="102">
        <f t="shared" si="0"/>
        <v>12</v>
      </c>
      <c r="S10" s="102">
        <f t="shared" si="0"/>
        <v>13</v>
      </c>
      <c r="T10" s="102">
        <f t="shared" si="0"/>
        <v>14</v>
      </c>
      <c r="U10" s="102">
        <f t="shared" si="0"/>
        <v>15</v>
      </c>
      <c r="V10" s="102">
        <f t="shared" si="0"/>
        <v>16</v>
      </c>
      <c r="W10" s="102">
        <f t="shared" si="0"/>
        <v>17</v>
      </c>
      <c r="X10" s="102">
        <f t="shared" si="0"/>
        <v>18</v>
      </c>
      <c r="Y10" s="102">
        <f t="shared" si="0"/>
        <v>19</v>
      </c>
      <c r="Z10" s="102">
        <f t="shared" si="0"/>
        <v>20</v>
      </c>
      <c r="AA10" s="102">
        <f t="shared" si="0"/>
        <v>21</v>
      </c>
      <c r="AB10" s="102">
        <f t="shared" si="0"/>
        <v>22</v>
      </c>
      <c r="AC10" s="102">
        <f t="shared" si="0"/>
        <v>23</v>
      </c>
      <c r="AD10" s="102">
        <f t="shared" si="0"/>
        <v>24</v>
      </c>
      <c r="AE10" s="103">
        <v>1</v>
      </c>
      <c r="AF10" s="103">
        <f>AE10+1</f>
        <v>2</v>
      </c>
      <c r="AG10" s="103">
        <f t="shared" ref="AG10:AN10" si="1">AF10+1</f>
        <v>3</v>
      </c>
      <c r="AH10" s="103">
        <f t="shared" si="1"/>
        <v>4</v>
      </c>
      <c r="AI10" s="103">
        <f t="shared" si="1"/>
        <v>5</v>
      </c>
      <c r="AJ10" s="103">
        <f t="shared" si="1"/>
        <v>6</v>
      </c>
      <c r="AK10" s="103">
        <f t="shared" si="1"/>
        <v>7</v>
      </c>
      <c r="AL10" s="103">
        <f t="shared" si="1"/>
        <v>8</v>
      </c>
      <c r="AM10" s="103">
        <f t="shared" si="1"/>
        <v>9</v>
      </c>
      <c r="AN10" s="103">
        <f t="shared" si="1"/>
        <v>10</v>
      </c>
      <c r="AO10" s="100"/>
      <c r="AP10" s="104"/>
      <c r="AQ10" s="100"/>
    </row>
    <row r="11" spans="1:47" x14ac:dyDescent="0.15">
      <c r="A11" s="39"/>
      <c r="D11" s="105" t="s">
        <v>72</v>
      </c>
      <c r="E11" s="105"/>
      <c r="F11" s="106"/>
      <c r="G11" s="107" t="s">
        <v>73</v>
      </c>
      <c r="H11" s="107" t="s">
        <v>74</v>
      </c>
      <c r="I11" s="107" t="s">
        <v>75</v>
      </c>
      <c r="J11" s="107" t="s">
        <v>76</v>
      </c>
      <c r="K11" s="107" t="s">
        <v>77</v>
      </c>
      <c r="L11" s="107" t="s">
        <v>78</v>
      </c>
      <c r="M11" s="107" t="s">
        <v>79</v>
      </c>
      <c r="N11" s="107" t="s">
        <v>80</v>
      </c>
      <c r="O11" s="107" t="s">
        <v>81</v>
      </c>
      <c r="P11" s="107" t="s">
        <v>82</v>
      </c>
      <c r="Q11" s="107" t="s">
        <v>83</v>
      </c>
      <c r="R11" s="107" t="s">
        <v>84</v>
      </c>
      <c r="S11" s="107" t="s">
        <v>73</v>
      </c>
      <c r="T11" s="107" t="s">
        <v>74</v>
      </c>
      <c r="U11" s="107" t="s">
        <v>75</v>
      </c>
      <c r="V11" s="107" t="s">
        <v>76</v>
      </c>
      <c r="W11" s="107" t="s">
        <v>77</v>
      </c>
      <c r="X11" s="107" t="s">
        <v>78</v>
      </c>
      <c r="Y11" s="107" t="s">
        <v>79</v>
      </c>
      <c r="Z11" s="107" t="s">
        <v>80</v>
      </c>
      <c r="AA11" s="107" t="s">
        <v>81</v>
      </c>
      <c r="AB11" s="107" t="s">
        <v>82</v>
      </c>
      <c r="AC11" s="107" t="s">
        <v>83</v>
      </c>
      <c r="AD11" s="107" t="s">
        <v>84</v>
      </c>
      <c r="AE11" s="107"/>
      <c r="AF11" s="107"/>
      <c r="AG11" s="107"/>
      <c r="AH11" s="107"/>
      <c r="AI11" s="107"/>
      <c r="AJ11" s="108"/>
      <c r="AK11" s="108"/>
      <c r="AL11" s="108"/>
      <c r="AM11" s="108"/>
      <c r="AN11" s="108"/>
      <c r="AO11" s="100"/>
      <c r="AP11" s="100"/>
      <c r="AQ11" s="100"/>
      <c r="AR11" s="100"/>
      <c r="AS11" s="100"/>
      <c r="AT11" s="100"/>
      <c r="AU11" s="100"/>
    </row>
    <row r="12" spans="1:47" outlineLevel="1" x14ac:dyDescent="0.15">
      <c r="A12" s="39"/>
      <c r="D12" s="109" t="s">
        <v>85</v>
      </c>
      <c r="E12" s="100"/>
      <c r="F12" s="110"/>
      <c r="G12" s="111">
        <v>198.00000000000017</v>
      </c>
      <c r="H12" s="111">
        <v>252.00000000000003</v>
      </c>
      <c r="I12" s="111">
        <v>288</v>
      </c>
      <c r="J12" s="111">
        <v>288</v>
      </c>
      <c r="K12" s="111">
        <v>288</v>
      </c>
      <c r="L12" s="111">
        <v>288</v>
      </c>
      <c r="M12" s="111">
        <v>306</v>
      </c>
      <c r="N12" s="111">
        <v>288</v>
      </c>
      <c r="O12" s="111">
        <v>306</v>
      </c>
      <c r="P12" s="111">
        <v>360</v>
      </c>
      <c r="Q12" s="111">
        <v>360</v>
      </c>
      <c r="R12" s="111">
        <v>378</v>
      </c>
      <c r="S12" s="111">
        <v>660.00000000000057</v>
      </c>
      <c r="T12" s="111">
        <v>840.00000000000011</v>
      </c>
      <c r="U12" s="111">
        <v>960</v>
      </c>
      <c r="V12" s="111">
        <v>960</v>
      </c>
      <c r="W12" s="111">
        <v>960</v>
      </c>
      <c r="X12" s="111">
        <v>960</v>
      </c>
      <c r="Y12" s="111">
        <v>1020.0000000000001</v>
      </c>
      <c r="Z12" s="111">
        <v>960</v>
      </c>
      <c r="AA12" s="111">
        <v>1020.0000000000001</v>
      </c>
      <c r="AB12" s="111">
        <v>1200</v>
      </c>
      <c r="AC12" s="111">
        <v>1200</v>
      </c>
      <c r="AD12" s="111">
        <v>1260</v>
      </c>
      <c r="AE12" s="112">
        <v>3600</v>
      </c>
      <c r="AF12" s="112">
        <v>12000</v>
      </c>
      <c r="AG12" s="112">
        <v>45000</v>
      </c>
      <c r="AH12" s="112">
        <v>100000</v>
      </c>
      <c r="AI12" s="112">
        <v>125000</v>
      </c>
      <c r="AJ12" s="112">
        <v>175000</v>
      </c>
      <c r="AK12" s="112">
        <v>220000</v>
      </c>
      <c r="AL12" s="111">
        <v>242000.00000000003</v>
      </c>
      <c r="AM12" s="111">
        <v>266200.00000000006</v>
      </c>
      <c r="AN12" s="111">
        <v>292820.00000000012</v>
      </c>
      <c r="AO12" s="113"/>
      <c r="AP12" s="100"/>
      <c r="AQ12" s="100"/>
      <c r="AR12" s="100"/>
      <c r="AS12" s="100"/>
      <c r="AT12" s="100"/>
      <c r="AU12" s="100"/>
    </row>
    <row r="13" spans="1:47" outlineLevel="1" x14ac:dyDescent="0.15">
      <c r="A13" s="39"/>
      <c r="D13" s="114" t="s">
        <v>86</v>
      </c>
      <c r="E13" s="100"/>
      <c r="F13" s="110"/>
      <c r="G13" s="115">
        <v>5.5000000000000049E-2</v>
      </c>
      <c r="H13" s="116">
        <v>7.0000000000000007E-2</v>
      </c>
      <c r="I13" s="116">
        <v>0.08</v>
      </c>
      <c r="J13" s="116">
        <v>0.08</v>
      </c>
      <c r="K13" s="116">
        <v>0.08</v>
      </c>
      <c r="L13" s="116">
        <v>0.08</v>
      </c>
      <c r="M13" s="116">
        <v>8.5000000000000006E-2</v>
      </c>
      <c r="N13" s="116">
        <v>0.08</v>
      </c>
      <c r="O13" s="116">
        <v>8.5000000000000006E-2</v>
      </c>
      <c r="P13" s="116">
        <v>0.1</v>
      </c>
      <c r="Q13" s="116">
        <v>0.1</v>
      </c>
      <c r="R13" s="116">
        <v>0.105</v>
      </c>
      <c r="S13" s="115">
        <v>5.5000000000000049E-2</v>
      </c>
      <c r="T13" s="116">
        <v>7.0000000000000007E-2</v>
      </c>
      <c r="U13" s="116">
        <v>0.08</v>
      </c>
      <c r="V13" s="116">
        <v>0.08</v>
      </c>
      <c r="W13" s="116">
        <v>0.08</v>
      </c>
      <c r="X13" s="116">
        <v>0.08</v>
      </c>
      <c r="Y13" s="116">
        <v>8.5000000000000006E-2</v>
      </c>
      <c r="Z13" s="116">
        <v>0.08</v>
      </c>
      <c r="AA13" s="116">
        <v>8.5000000000000006E-2</v>
      </c>
      <c r="AB13" s="116">
        <v>0.1</v>
      </c>
      <c r="AC13" s="116">
        <v>0.1</v>
      </c>
      <c r="AD13" s="116">
        <v>0.105</v>
      </c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00"/>
      <c r="AP13" s="100"/>
      <c r="AQ13" s="100"/>
      <c r="AR13" s="100"/>
      <c r="AS13" s="100"/>
      <c r="AT13" s="100"/>
      <c r="AU13" s="100"/>
    </row>
    <row r="14" spans="1:47" outlineLevel="1" x14ac:dyDescent="0.15">
      <c r="A14" s="39"/>
      <c r="C14" s="1" t="s">
        <v>87</v>
      </c>
      <c r="D14" s="114" t="s">
        <v>88</v>
      </c>
      <c r="E14" s="100"/>
      <c r="F14" s="117">
        <v>0.1</v>
      </c>
      <c r="G14" s="111"/>
      <c r="H14" s="111"/>
      <c r="I14" s="111"/>
      <c r="J14" s="111"/>
      <c r="K14" s="111"/>
      <c r="L14" s="111"/>
      <c r="M14" s="118"/>
      <c r="N14" s="119"/>
      <c r="O14" s="119"/>
      <c r="P14" s="119"/>
      <c r="Q14" s="119"/>
      <c r="R14" s="119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20"/>
      <c r="AF14" s="111"/>
      <c r="AG14" s="111"/>
      <c r="AH14" s="111"/>
      <c r="AI14" s="111"/>
      <c r="AJ14" s="111"/>
      <c r="AK14" s="111"/>
      <c r="AL14" s="111"/>
      <c r="AM14" s="111"/>
      <c r="AN14" s="111"/>
      <c r="AO14" s="100"/>
      <c r="AU14" s="100"/>
    </row>
    <row r="15" spans="1:47" outlineLevel="1" x14ac:dyDescent="0.15">
      <c r="A15" s="39"/>
      <c r="C15" s="1" t="s">
        <v>89</v>
      </c>
      <c r="D15" s="109" t="s">
        <v>90</v>
      </c>
      <c r="E15" s="100"/>
      <c r="F15" s="121">
        <v>0.17640999999999998</v>
      </c>
      <c r="G15" s="111"/>
      <c r="H15" s="111"/>
      <c r="I15" s="111"/>
      <c r="J15" s="111"/>
      <c r="K15" s="111"/>
      <c r="L15" s="111"/>
      <c r="M15" s="111"/>
      <c r="N15" s="122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20"/>
      <c r="AF15" s="111"/>
      <c r="AG15" s="111"/>
      <c r="AH15" s="111"/>
      <c r="AI15" s="111"/>
      <c r="AJ15" s="111"/>
      <c r="AK15" s="111"/>
      <c r="AL15" s="111"/>
      <c r="AM15" s="111"/>
      <c r="AN15" s="111"/>
      <c r="AO15" s="100"/>
      <c r="AQ15" s="18"/>
      <c r="AR15" s="100"/>
      <c r="AS15" s="100"/>
      <c r="AT15" s="100"/>
      <c r="AU15" s="100"/>
    </row>
    <row r="16" spans="1:47" outlineLevel="1" x14ac:dyDescent="0.15">
      <c r="A16" s="39"/>
      <c r="C16" s="1" t="s">
        <v>91</v>
      </c>
      <c r="D16" s="109" t="s">
        <v>92</v>
      </c>
      <c r="E16" s="100"/>
      <c r="F16" s="123">
        <v>0.03</v>
      </c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4"/>
      <c r="AE16" s="120"/>
      <c r="AF16" s="126"/>
      <c r="AG16" s="126"/>
      <c r="AH16" s="126"/>
      <c r="AI16" s="126"/>
      <c r="AJ16" s="126"/>
      <c r="AK16" s="126"/>
      <c r="AL16" s="126"/>
      <c r="AM16" s="126"/>
      <c r="AN16" s="126"/>
      <c r="AO16" s="100"/>
      <c r="AQ16" s="100"/>
      <c r="AR16" s="100"/>
    </row>
    <row r="17" spans="1:48" outlineLevel="1" x14ac:dyDescent="0.15">
      <c r="A17" s="39"/>
      <c r="D17" s="109" t="s">
        <v>93</v>
      </c>
      <c r="E17" s="95"/>
      <c r="F17" s="100"/>
      <c r="G17" s="126">
        <v>34.929180000000024</v>
      </c>
      <c r="H17" s="126">
        <v>44.45532</v>
      </c>
      <c r="I17" s="126">
        <v>50.806079999999994</v>
      </c>
      <c r="J17" s="126">
        <v>50.806079999999994</v>
      </c>
      <c r="K17" s="126">
        <v>50.806079999999994</v>
      </c>
      <c r="L17" s="126">
        <v>50.806079999999994</v>
      </c>
      <c r="M17" s="126">
        <v>53.981459999999998</v>
      </c>
      <c r="N17" s="126">
        <v>50.806079999999994</v>
      </c>
      <c r="O17" s="126">
        <v>53.981459999999998</v>
      </c>
      <c r="P17" s="126">
        <v>63.507599999999996</v>
      </c>
      <c r="Q17" s="126">
        <v>63.507599999999996</v>
      </c>
      <c r="R17" s="126">
        <v>66.682980000000001</v>
      </c>
      <c r="S17" s="126">
        <v>119.92351800000009</v>
      </c>
      <c r="T17" s="126">
        <v>152.62993200000003</v>
      </c>
      <c r="U17" s="126">
        <v>174.43420799999998</v>
      </c>
      <c r="V17" s="126">
        <v>174.43420799999998</v>
      </c>
      <c r="W17" s="126">
        <v>174.43420799999998</v>
      </c>
      <c r="X17" s="126">
        <v>174.43420799999998</v>
      </c>
      <c r="Y17" s="126">
        <v>185.33634599999999</v>
      </c>
      <c r="Z17" s="126">
        <v>174.43420799999998</v>
      </c>
      <c r="AA17" s="126">
        <v>185.33634599999999</v>
      </c>
      <c r="AB17" s="126">
        <v>218.04275999999999</v>
      </c>
      <c r="AC17" s="126">
        <v>218.04275999999999</v>
      </c>
      <c r="AD17" s="126">
        <v>228.94489799999997</v>
      </c>
      <c r="AE17" s="126">
        <v>635.07599999999991</v>
      </c>
      <c r="AF17" s="126">
        <v>2180.4275999999995</v>
      </c>
      <c r="AG17" s="126">
        <v>8421.9016049999991</v>
      </c>
      <c r="AH17" s="126">
        <v>19276.797007000001</v>
      </c>
      <c r="AI17" s="126">
        <v>24818.876146512495</v>
      </c>
      <c r="AJ17" s="126">
        <v>35788.819403271016</v>
      </c>
      <c r="AK17" s="126">
        <v>46341.408438749786</v>
      </c>
      <c r="AL17" s="126">
        <v>52504.81576110352</v>
      </c>
      <c r="AM17" s="126">
        <v>59487.956257330283</v>
      </c>
      <c r="AN17" s="126">
        <v>67399.854439555231</v>
      </c>
      <c r="AO17" s="100"/>
      <c r="AP17" s="100"/>
      <c r="AQ17" s="100"/>
      <c r="AR17" s="100"/>
    </row>
    <row r="18" spans="1:48" outlineLevel="1" x14ac:dyDescent="0.15">
      <c r="A18" s="39"/>
      <c r="C18" s="1" t="s">
        <v>94</v>
      </c>
      <c r="D18" s="109" t="s">
        <v>95</v>
      </c>
      <c r="F18" s="127">
        <v>0.1</v>
      </c>
      <c r="G18" s="126"/>
      <c r="H18" s="126"/>
      <c r="I18" s="126"/>
      <c r="J18" s="126"/>
      <c r="K18" s="126"/>
      <c r="L18" s="126"/>
      <c r="M18" s="128"/>
      <c r="N18" s="128"/>
      <c r="O18" s="128"/>
      <c r="P18" s="128"/>
      <c r="Q18" s="128"/>
      <c r="R18" s="128"/>
      <c r="S18" s="128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R18" s="100"/>
    </row>
    <row r="19" spans="1:48" outlineLevel="1" x14ac:dyDescent="0.15">
      <c r="A19" s="39"/>
      <c r="C19" s="1" t="s">
        <v>94</v>
      </c>
      <c r="D19" s="109" t="s">
        <v>96</v>
      </c>
      <c r="F19" s="130">
        <v>0.05</v>
      </c>
      <c r="G19" s="126"/>
      <c r="H19" s="126"/>
      <c r="I19" s="126"/>
      <c r="J19" s="126"/>
      <c r="K19" s="126"/>
      <c r="L19" s="126"/>
      <c r="M19" s="128"/>
      <c r="N19" s="128"/>
      <c r="O19" s="128"/>
      <c r="P19" s="128"/>
      <c r="Q19" s="128"/>
      <c r="R19" s="128"/>
      <c r="S19" s="128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R19" s="100"/>
    </row>
    <row r="20" spans="1:48" outlineLevel="1" x14ac:dyDescent="0.15">
      <c r="A20" s="39"/>
      <c r="C20" s="1" t="s">
        <v>94</v>
      </c>
      <c r="D20" s="109" t="s">
        <v>97</v>
      </c>
      <c r="F20" s="131">
        <v>0.03</v>
      </c>
      <c r="G20" s="126"/>
      <c r="H20" s="126"/>
      <c r="I20" s="126"/>
      <c r="J20" s="126"/>
      <c r="K20" s="126"/>
      <c r="L20" s="126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R20" s="100"/>
    </row>
    <row r="21" spans="1:48" outlineLevel="1" x14ac:dyDescent="0.15">
      <c r="A21" s="39"/>
      <c r="D21" s="109" t="s">
        <v>98</v>
      </c>
      <c r="E21" s="95"/>
      <c r="F21" s="100"/>
      <c r="G21" s="132">
        <v>0.99000000000000099</v>
      </c>
      <c r="H21" s="132">
        <v>1.2600000000000002</v>
      </c>
      <c r="I21" s="132">
        <v>1.4400000000000002</v>
      </c>
      <c r="J21" s="132">
        <v>1.4400000000000002</v>
      </c>
      <c r="K21" s="132">
        <v>1.4400000000000002</v>
      </c>
      <c r="L21" s="132">
        <v>1.4400000000000002</v>
      </c>
      <c r="M21" s="132">
        <v>1.5300000000000002</v>
      </c>
      <c r="N21" s="132">
        <v>1.4400000000000002</v>
      </c>
      <c r="O21" s="132">
        <v>1.5300000000000002</v>
      </c>
      <c r="P21" s="132">
        <v>1.8</v>
      </c>
      <c r="Q21" s="132">
        <v>1.8</v>
      </c>
      <c r="R21" s="132">
        <v>1.8900000000000003</v>
      </c>
      <c r="S21" s="132">
        <v>3.3990000000000031</v>
      </c>
      <c r="T21" s="132">
        <v>4.3260000000000014</v>
      </c>
      <c r="U21" s="132">
        <v>4.9440000000000008</v>
      </c>
      <c r="V21" s="132">
        <v>4.9440000000000008</v>
      </c>
      <c r="W21" s="132">
        <v>4.9440000000000008</v>
      </c>
      <c r="X21" s="132">
        <v>4.9440000000000008</v>
      </c>
      <c r="Y21" s="132">
        <v>5.2530000000000019</v>
      </c>
      <c r="Z21" s="132">
        <v>4.9440000000000008</v>
      </c>
      <c r="AA21" s="132">
        <v>5.2530000000000019</v>
      </c>
      <c r="AB21" s="132">
        <v>6.18</v>
      </c>
      <c r="AC21" s="132">
        <v>6.18</v>
      </c>
      <c r="AD21" s="132">
        <v>6.4890000000000008</v>
      </c>
      <c r="AE21" s="133">
        <v>18</v>
      </c>
      <c r="AF21" s="133">
        <v>61.800000000000004</v>
      </c>
      <c r="AG21" s="133">
        <v>238.70250000000001</v>
      </c>
      <c r="AH21" s="133">
        <v>546.36350000000004</v>
      </c>
      <c r="AI21" s="133">
        <v>703.44300624999994</v>
      </c>
      <c r="AJ21" s="133">
        <v>1014.3648150124999</v>
      </c>
      <c r="AK21" s="133">
        <v>1313.4575261819</v>
      </c>
      <c r="AL21" s="133">
        <v>1488.1473771640929</v>
      </c>
      <c r="AM21" s="133">
        <v>1686.0709783269172</v>
      </c>
      <c r="AN21" s="133">
        <v>1910.3184184443978</v>
      </c>
      <c r="AO21" s="100"/>
      <c r="AP21" s="100"/>
      <c r="AQ21" s="100"/>
      <c r="AR21" s="100"/>
    </row>
    <row r="22" spans="1:48" x14ac:dyDescent="0.15">
      <c r="A22" s="39"/>
      <c r="D22" s="134" t="s">
        <v>99</v>
      </c>
      <c r="E22" s="95"/>
      <c r="F22" s="100"/>
      <c r="G22" s="126">
        <v>35.919180000000026</v>
      </c>
      <c r="H22" s="126">
        <v>45.715319999999998</v>
      </c>
      <c r="I22" s="126">
        <v>52.246079999999992</v>
      </c>
      <c r="J22" s="126">
        <v>52.246079999999992</v>
      </c>
      <c r="K22" s="126">
        <v>52.246079999999992</v>
      </c>
      <c r="L22" s="126">
        <v>52.246079999999992</v>
      </c>
      <c r="M22" s="126">
        <v>55.51146</v>
      </c>
      <c r="N22" s="126">
        <v>52.246079999999992</v>
      </c>
      <c r="O22" s="126">
        <v>55.51146</v>
      </c>
      <c r="P22" s="126">
        <v>65.307599999999994</v>
      </c>
      <c r="Q22" s="126">
        <v>65.307599999999994</v>
      </c>
      <c r="R22" s="126">
        <v>68.572980000000001</v>
      </c>
      <c r="S22" s="126">
        <v>123.32251800000009</v>
      </c>
      <c r="T22" s="126">
        <v>156.95593200000002</v>
      </c>
      <c r="U22" s="126">
        <v>179.37820799999997</v>
      </c>
      <c r="V22" s="126">
        <v>179.37820799999997</v>
      </c>
      <c r="W22" s="126">
        <v>179.37820799999997</v>
      </c>
      <c r="X22" s="126">
        <v>179.37820799999997</v>
      </c>
      <c r="Y22" s="126">
        <v>190.58934600000001</v>
      </c>
      <c r="Z22" s="126">
        <v>179.37820799999997</v>
      </c>
      <c r="AA22" s="126">
        <v>190.58934600000001</v>
      </c>
      <c r="AB22" s="126">
        <v>224.22275999999999</v>
      </c>
      <c r="AC22" s="126">
        <v>224.22275999999999</v>
      </c>
      <c r="AD22" s="126">
        <v>235.43389799999997</v>
      </c>
      <c r="AE22" s="126">
        <v>653.07599999999991</v>
      </c>
      <c r="AF22" s="126">
        <v>2242.2275999999997</v>
      </c>
      <c r="AG22" s="126">
        <v>8660.6041049999985</v>
      </c>
      <c r="AH22" s="126">
        <v>19823.160507000001</v>
      </c>
      <c r="AI22" s="126">
        <v>25522.319152762495</v>
      </c>
      <c r="AJ22" s="126">
        <v>36803.184218283517</v>
      </c>
      <c r="AK22" s="126">
        <v>47654.865964931683</v>
      </c>
      <c r="AL22" s="126">
        <v>53992.963138267616</v>
      </c>
      <c r="AM22" s="126">
        <v>61174.027235657202</v>
      </c>
      <c r="AN22" s="126">
        <v>69310.172857999627</v>
      </c>
      <c r="AO22" s="100"/>
      <c r="AP22" s="100"/>
      <c r="AQ22" s="100"/>
      <c r="AR22" s="100"/>
    </row>
    <row r="23" spans="1:48" ht="14" thickBot="1" x14ac:dyDescent="0.2">
      <c r="A23" s="39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00"/>
      <c r="AP23" s="100"/>
      <c r="AQ23" s="100"/>
    </row>
    <row r="24" spans="1:48" ht="14" thickTop="1" x14ac:dyDescent="0.15">
      <c r="D24" s="99" t="s">
        <v>100</v>
      </c>
      <c r="E24" s="95"/>
      <c r="F24" s="136"/>
      <c r="G24" s="137">
        <v>35.919180000000026</v>
      </c>
      <c r="H24" s="137">
        <v>45.715319999999998</v>
      </c>
      <c r="I24" s="137">
        <v>52.246079999999992</v>
      </c>
      <c r="J24" s="137">
        <v>52.246079999999992</v>
      </c>
      <c r="K24" s="137">
        <v>52.246079999999992</v>
      </c>
      <c r="L24" s="137">
        <v>52.246079999999992</v>
      </c>
      <c r="M24" s="137">
        <v>55.51146</v>
      </c>
      <c r="N24" s="137">
        <v>52.246079999999992</v>
      </c>
      <c r="O24" s="137">
        <v>55.51146</v>
      </c>
      <c r="P24" s="137">
        <v>65.307599999999994</v>
      </c>
      <c r="Q24" s="137">
        <v>65.307599999999994</v>
      </c>
      <c r="R24" s="137">
        <v>68.572980000000001</v>
      </c>
      <c r="S24" s="137">
        <v>123.32251800000009</v>
      </c>
      <c r="T24" s="137">
        <v>156.95593200000002</v>
      </c>
      <c r="U24" s="137">
        <v>179.37820799999997</v>
      </c>
      <c r="V24" s="137">
        <v>179.37820799999997</v>
      </c>
      <c r="W24" s="137">
        <v>179.37820799999997</v>
      </c>
      <c r="X24" s="137">
        <v>179.37820799999997</v>
      </c>
      <c r="Y24" s="137">
        <v>190.58934600000001</v>
      </c>
      <c r="Z24" s="137">
        <v>179.37820799999997</v>
      </c>
      <c r="AA24" s="137">
        <v>190.58934600000001</v>
      </c>
      <c r="AB24" s="137">
        <v>224.22275999999999</v>
      </c>
      <c r="AC24" s="137">
        <v>224.22275999999999</v>
      </c>
      <c r="AD24" s="137">
        <v>235.43389799999997</v>
      </c>
      <c r="AE24" s="137">
        <v>653.07599999999991</v>
      </c>
      <c r="AF24" s="137">
        <v>2242.2275999999997</v>
      </c>
      <c r="AG24" s="137">
        <v>8660.6041049999985</v>
      </c>
      <c r="AH24" s="137">
        <v>19823.160507000001</v>
      </c>
      <c r="AI24" s="137">
        <v>25522.319152762495</v>
      </c>
      <c r="AJ24" s="137">
        <v>36803.184218283517</v>
      </c>
      <c r="AK24" s="137">
        <v>47654.865964931683</v>
      </c>
      <c r="AL24" s="137">
        <v>53992.963138267616</v>
      </c>
      <c r="AM24" s="137">
        <v>61174.027235657202</v>
      </c>
      <c r="AN24" s="137">
        <v>69310.172857999627</v>
      </c>
      <c r="AO24" s="100"/>
      <c r="AP24" s="138">
        <v>0.67916194878120351</v>
      </c>
      <c r="AQ24" s="139" t="s">
        <v>101</v>
      </c>
    </row>
    <row r="25" spans="1:48" x14ac:dyDescent="0.15">
      <c r="D25" s="99"/>
      <c r="E25" s="95"/>
      <c r="F25" s="136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00"/>
      <c r="AP25" s="142"/>
      <c r="AQ25" s="143"/>
    </row>
    <row r="26" spans="1:48" hidden="1" outlineLevel="1" x14ac:dyDescent="0.15">
      <c r="D26" s="99" t="s">
        <v>102</v>
      </c>
      <c r="E26" s="95"/>
      <c r="F26" s="136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4"/>
      <c r="AE26" s="144"/>
      <c r="AF26" s="144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U26" s="17"/>
      <c r="AV26" s="62"/>
    </row>
    <row r="27" spans="1:48" hidden="1" outlineLevel="1" x14ac:dyDescent="0.15">
      <c r="D27" s="109" t="s">
        <v>103</v>
      </c>
      <c r="E27" s="146" t="s">
        <v>104</v>
      </c>
      <c r="F27" s="147">
        <v>0.02</v>
      </c>
      <c r="G27" s="148"/>
      <c r="H27" s="148"/>
      <c r="I27" s="148"/>
      <c r="J27" s="148"/>
      <c r="K27" s="148"/>
      <c r="L27" s="148"/>
      <c r="M27" s="149"/>
      <c r="N27" s="149"/>
      <c r="O27" s="149"/>
      <c r="P27" s="149"/>
      <c r="Q27" s="149"/>
      <c r="R27" s="149"/>
      <c r="S27" s="149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49"/>
      <c r="AE27" s="149">
        <v>1488240</v>
      </c>
      <c r="AF27" s="151">
        <v>1518004.8</v>
      </c>
      <c r="AG27" s="151">
        <v>1548364.8960000002</v>
      </c>
      <c r="AH27" s="151">
        <v>1579332.1939200002</v>
      </c>
      <c r="AI27" s="151">
        <v>1610918.8377984003</v>
      </c>
      <c r="AJ27" s="151">
        <v>1643137.2145543683</v>
      </c>
      <c r="AK27" s="151">
        <v>1675999.9588454557</v>
      </c>
      <c r="AL27" s="151">
        <v>1709519.9580223649</v>
      </c>
      <c r="AM27" s="151">
        <v>1743710.3571828122</v>
      </c>
      <c r="AN27" s="151">
        <v>1778584.5643264684</v>
      </c>
      <c r="AO27" s="152"/>
      <c r="AP27" s="153" t="s">
        <v>105</v>
      </c>
      <c r="AU27" s="17"/>
      <c r="AV27" s="62"/>
    </row>
    <row r="28" spans="1:48" hidden="1" outlineLevel="1" x14ac:dyDescent="0.15">
      <c r="D28" s="109" t="s">
        <v>106</v>
      </c>
      <c r="E28" s="154" t="s">
        <v>104</v>
      </c>
      <c r="F28" s="155">
        <v>0.1</v>
      </c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6"/>
      <c r="AE28" s="156">
        <v>148824</v>
      </c>
      <c r="AF28" s="156">
        <v>163706.40000000002</v>
      </c>
      <c r="AG28" s="156">
        <v>180077.04000000004</v>
      </c>
      <c r="AH28" s="156">
        <v>198084.74400000006</v>
      </c>
      <c r="AI28" s="156">
        <v>217893.2184000001</v>
      </c>
      <c r="AJ28" s="156">
        <v>239682.54024000012</v>
      </c>
      <c r="AK28" s="156">
        <v>263650.79426400014</v>
      </c>
      <c r="AL28" s="156">
        <v>290015.87369040016</v>
      </c>
      <c r="AM28" s="156">
        <v>319017.46105944022</v>
      </c>
      <c r="AN28" s="156">
        <v>350919.20716538426</v>
      </c>
      <c r="AO28" s="100"/>
      <c r="AP28" s="39" t="s">
        <v>107</v>
      </c>
      <c r="AQ28" s="100"/>
      <c r="AU28" s="17"/>
      <c r="AV28" s="62"/>
    </row>
    <row r="29" spans="1:48" hidden="1" outlineLevel="1" x14ac:dyDescent="0.15">
      <c r="D29" s="114" t="s">
        <v>108</v>
      </c>
      <c r="E29" s="95"/>
      <c r="F29" s="136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8"/>
      <c r="AE29" s="158">
        <v>4.3882438316400572E-4</v>
      </c>
      <c r="AF29" s="158">
        <v>1.4770886099964898E-3</v>
      </c>
      <c r="AG29" s="158">
        <v>5.5933870157955307E-3</v>
      </c>
      <c r="AH29" s="158">
        <v>1.2551609207558601E-2</v>
      </c>
      <c r="AI29" s="158">
        <v>1.5843330249736956E-2</v>
      </c>
      <c r="AJ29" s="158">
        <v>2.2398119823647734E-2</v>
      </c>
      <c r="AK29" s="158">
        <v>2.8433691608059253E-2</v>
      </c>
      <c r="AL29" s="158">
        <v>3.1583698619540336E-2</v>
      </c>
      <c r="AM29" s="158">
        <v>3.5082676996018816E-2</v>
      </c>
      <c r="AN29" s="158">
        <v>3.8969287290675815E-2</v>
      </c>
      <c r="AO29" s="100"/>
      <c r="AP29" s="100"/>
      <c r="AQ29" s="100"/>
      <c r="AR29" s="100"/>
      <c r="AS29" s="100"/>
      <c r="AT29" s="100"/>
      <c r="AU29" s="17"/>
      <c r="AV29" s="62"/>
    </row>
    <row r="30" spans="1:48" hidden="1" outlineLevel="1" x14ac:dyDescent="0.15">
      <c r="D30" s="114" t="s">
        <v>109</v>
      </c>
      <c r="E30" s="95"/>
      <c r="F30" s="136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8"/>
      <c r="AE30" s="158">
        <v>4.3882438316400572E-3</v>
      </c>
      <c r="AF30" s="158">
        <v>1.3696639838149269E-2</v>
      </c>
      <c r="AG30" s="158">
        <v>4.8093883068046857E-2</v>
      </c>
      <c r="AH30" s="158">
        <v>0.10007414052543084</v>
      </c>
      <c r="AI30" s="158">
        <v>0.11713223266044742</v>
      </c>
      <c r="AJ30" s="158">
        <v>0.15354970863305925</v>
      </c>
      <c r="AK30" s="158">
        <v>0.1807499427337726</v>
      </c>
      <c r="AL30" s="158">
        <v>0.18617244101578584</v>
      </c>
      <c r="AM30" s="158">
        <v>0.19175761424625937</v>
      </c>
      <c r="AN30" s="158">
        <v>0.19751034267364717</v>
      </c>
      <c r="AO30" s="100"/>
      <c r="AP30" s="100"/>
      <c r="AQ30" s="100"/>
      <c r="AR30" s="100"/>
      <c r="AS30" s="100"/>
      <c r="AT30" s="100"/>
      <c r="AU30" s="17"/>
      <c r="AV30" s="62"/>
    </row>
    <row r="31" spans="1:48" hidden="1" outlineLevel="1" x14ac:dyDescent="0.15">
      <c r="D31" s="72" t="s">
        <v>110</v>
      </c>
      <c r="F31" s="160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42"/>
      <c r="AE31" s="142" t="e">
        <v>#REF!</v>
      </c>
      <c r="AF31" s="142" t="e">
        <v>#REF!</v>
      </c>
      <c r="AG31" s="142" t="e">
        <v>#REF!</v>
      </c>
      <c r="AH31" s="142" t="e">
        <v>#REF!</v>
      </c>
      <c r="AI31" s="142" t="e">
        <v>#REF!</v>
      </c>
      <c r="AJ31" s="142" t="e">
        <v>#REF!</v>
      </c>
      <c r="AK31" s="142" t="e">
        <v>#REF!</v>
      </c>
      <c r="AL31" s="142" t="e">
        <v>#REF!</v>
      </c>
      <c r="AM31" s="142" t="e">
        <v>#REF!</v>
      </c>
      <c r="AN31" s="142" t="e">
        <v>#REF!</v>
      </c>
      <c r="AO31" s="100"/>
      <c r="AP31" s="100"/>
      <c r="AQ31" s="100"/>
      <c r="AR31" s="100"/>
      <c r="AS31" s="100"/>
      <c r="AT31" s="100"/>
    </row>
    <row r="32" spans="1:48" hidden="1" outlineLevel="1" x14ac:dyDescent="0.15">
      <c r="D32" s="105" t="s">
        <v>111</v>
      </c>
      <c r="F32" s="160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00"/>
      <c r="AP32" s="100"/>
      <c r="AQ32" s="100"/>
      <c r="AR32" s="100"/>
      <c r="AS32" s="100"/>
      <c r="AT32" s="100"/>
    </row>
    <row r="33" spans="4:50" hidden="1" outlineLevel="1" x14ac:dyDescent="0.15">
      <c r="D33" s="72" t="s">
        <v>112</v>
      </c>
      <c r="F33" s="160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2"/>
      <c r="AE33" s="164">
        <v>1.5</v>
      </c>
      <c r="AF33" s="142"/>
      <c r="AG33" s="142"/>
      <c r="AH33" s="142"/>
      <c r="AI33" s="142"/>
      <c r="AJ33" s="142"/>
      <c r="AK33" s="142"/>
      <c r="AL33" s="142"/>
      <c r="AM33" s="142"/>
      <c r="AN33" s="142"/>
      <c r="AO33" s="100"/>
      <c r="AP33" s="165" t="s">
        <v>113</v>
      </c>
      <c r="AQ33" s="165"/>
      <c r="AR33" s="165"/>
      <c r="AS33" s="100"/>
      <c r="AT33" s="100"/>
    </row>
    <row r="34" spans="4:50" hidden="1" outlineLevel="1" x14ac:dyDescent="0.15">
      <c r="D34" s="72" t="s">
        <v>114</v>
      </c>
      <c r="F34" s="160"/>
      <c r="G34" s="166"/>
      <c r="H34" s="166"/>
      <c r="I34" s="166"/>
      <c r="J34" s="166"/>
      <c r="K34" s="166"/>
      <c r="L34" s="166"/>
      <c r="M34" s="167"/>
      <c r="N34" s="167"/>
      <c r="O34" s="167"/>
      <c r="P34" s="167"/>
      <c r="Q34" s="167"/>
      <c r="R34" s="167"/>
      <c r="S34" s="167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7"/>
      <c r="AE34" s="167">
        <v>0.5</v>
      </c>
      <c r="AF34" s="167">
        <v>0.5</v>
      </c>
      <c r="AG34" s="167">
        <v>0.5</v>
      </c>
      <c r="AH34" s="167">
        <v>0.5</v>
      </c>
      <c r="AI34" s="167">
        <v>0.5</v>
      </c>
      <c r="AJ34" s="167">
        <v>0.5</v>
      </c>
      <c r="AK34" s="167">
        <v>0.5</v>
      </c>
      <c r="AL34" s="167">
        <v>0.5</v>
      </c>
      <c r="AM34" s="167">
        <v>0.5</v>
      </c>
      <c r="AN34" s="167">
        <v>0.5</v>
      </c>
      <c r="AO34" s="100"/>
      <c r="AP34" s="165" t="s">
        <v>115</v>
      </c>
      <c r="AQ34" s="165"/>
      <c r="AR34" s="100"/>
      <c r="AS34" s="100"/>
      <c r="AT34" s="100"/>
    </row>
    <row r="35" spans="4:50" hidden="1" outlineLevel="1" x14ac:dyDescent="0.15">
      <c r="D35" s="72" t="s">
        <v>116</v>
      </c>
      <c r="F35" s="160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69"/>
      <c r="AE35" s="169">
        <v>4800</v>
      </c>
      <c r="AF35" s="169">
        <v>16000</v>
      </c>
      <c r="AG35" s="169">
        <v>60000</v>
      </c>
      <c r="AH35" s="169">
        <v>133333.33333333334</v>
      </c>
      <c r="AI35" s="169">
        <v>166666.66666666666</v>
      </c>
      <c r="AJ35" s="169">
        <v>233333.33333333334</v>
      </c>
      <c r="AK35" s="169">
        <v>293333.33333333331</v>
      </c>
      <c r="AL35" s="169">
        <v>322666.66666666669</v>
      </c>
      <c r="AM35" s="169">
        <v>354933.33333333343</v>
      </c>
      <c r="AN35" s="169">
        <v>390426.6666666668</v>
      </c>
      <c r="AO35" s="100"/>
      <c r="AP35" s="100"/>
      <c r="AQ35" s="100"/>
      <c r="AR35" s="100"/>
      <c r="AS35" s="100"/>
      <c r="AT35" s="100"/>
    </row>
    <row r="36" spans="4:50" hidden="1" outlineLevel="1" x14ac:dyDescent="0.15">
      <c r="D36" s="72" t="s">
        <v>117</v>
      </c>
      <c r="F36" s="160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69"/>
      <c r="AE36" s="169">
        <v>4800</v>
      </c>
      <c r="AF36" s="169">
        <v>13600</v>
      </c>
      <c r="AG36" s="169">
        <v>52000</v>
      </c>
      <c r="AH36" s="169">
        <v>103333.33333333334</v>
      </c>
      <c r="AI36" s="169">
        <v>99999.999999999985</v>
      </c>
      <c r="AJ36" s="169">
        <v>150000</v>
      </c>
      <c r="AK36" s="169">
        <v>176666.66666666663</v>
      </c>
      <c r="AL36" s="169">
        <v>176000.00000000003</v>
      </c>
      <c r="AM36" s="169">
        <v>193600.00000000009</v>
      </c>
      <c r="AN36" s="169">
        <v>212960.00000000009</v>
      </c>
      <c r="AO36" s="100"/>
      <c r="AP36" s="100"/>
      <c r="AQ36" s="100"/>
      <c r="AR36" s="100"/>
      <c r="AS36" s="100"/>
      <c r="AT36" s="100"/>
      <c r="AX36" s="39">
        <f>10/1.5/0.9</f>
        <v>7.4074074074074074</v>
      </c>
    </row>
    <row r="37" spans="4:50" hidden="1" outlineLevel="1" x14ac:dyDescent="0.15">
      <c r="D37" s="72" t="s">
        <v>118</v>
      </c>
      <c r="F37" s="160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69"/>
      <c r="AE37" s="123">
        <v>0.03</v>
      </c>
      <c r="AF37" s="169"/>
      <c r="AG37" s="169"/>
      <c r="AH37" s="169"/>
      <c r="AI37" s="169"/>
      <c r="AJ37" s="169"/>
      <c r="AK37" s="169"/>
      <c r="AL37" s="169"/>
      <c r="AM37" s="169"/>
      <c r="AN37" s="169"/>
      <c r="AO37" s="100"/>
      <c r="AP37" s="100"/>
      <c r="AQ37" s="100"/>
      <c r="AR37" s="100"/>
      <c r="AS37" s="100"/>
      <c r="AT37" s="100"/>
    </row>
    <row r="38" spans="4:50" hidden="1" outlineLevel="1" x14ac:dyDescent="0.15">
      <c r="D38" s="171" t="s">
        <v>112</v>
      </c>
      <c r="E38" s="165"/>
      <c r="F38" s="172"/>
      <c r="G38" s="162"/>
      <c r="H38" s="162"/>
      <c r="I38" s="162"/>
      <c r="J38" s="162"/>
      <c r="K38" s="162"/>
      <c r="L38" s="162"/>
      <c r="M38" s="173"/>
      <c r="N38" s="173"/>
      <c r="O38" s="173"/>
      <c r="P38" s="173"/>
      <c r="Q38" s="173"/>
      <c r="R38" s="173"/>
      <c r="S38" s="173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3"/>
      <c r="AE38" s="175">
        <v>1.5</v>
      </c>
      <c r="AF38" s="142"/>
      <c r="AG38" s="142"/>
      <c r="AH38" s="142"/>
      <c r="AI38" s="142"/>
      <c r="AJ38" s="142"/>
      <c r="AK38" s="142"/>
      <c r="AL38" s="142"/>
      <c r="AM38" s="142"/>
      <c r="AN38" s="142"/>
      <c r="AO38" s="100"/>
      <c r="AP38" s="100"/>
      <c r="AQ38" s="100"/>
      <c r="AR38" s="100"/>
      <c r="AS38" s="100"/>
      <c r="AT38" s="100"/>
    </row>
    <row r="39" spans="4:50" hidden="1" outlineLevel="1" x14ac:dyDescent="0.15">
      <c r="D39" s="72" t="s">
        <v>119</v>
      </c>
      <c r="F39" s="160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69"/>
      <c r="AE39" s="169">
        <v>37.354166666666671</v>
      </c>
      <c r="AF39" s="169">
        <v>27.268541666666671</v>
      </c>
      <c r="AG39" s="169">
        <v>14.543222222222225</v>
      </c>
      <c r="AH39" s="169">
        <v>9.2150946772517326</v>
      </c>
      <c r="AI39" s="169">
        <v>9.4915475175692841</v>
      </c>
      <c r="AJ39" s="169">
        <v>9.7762939430963609</v>
      </c>
      <c r="AK39" s="169">
        <v>10.069582761389253</v>
      </c>
      <c r="AL39" s="169">
        <v>10.371670244230932</v>
      </c>
      <c r="AM39" s="169">
        <v>10.682820351557856</v>
      </c>
      <c r="AN39" s="169">
        <v>11.003304962104595</v>
      </c>
      <c r="AO39" s="100"/>
      <c r="AP39" s="100" t="s">
        <v>120</v>
      </c>
      <c r="AQ39" s="100"/>
      <c r="AR39" s="100"/>
      <c r="AS39" s="100"/>
      <c r="AT39" s="100"/>
    </row>
    <row r="40" spans="4:50" hidden="1" outlineLevel="1" x14ac:dyDescent="0.15">
      <c r="D40" s="72" t="s">
        <v>121</v>
      </c>
      <c r="F40" s="160"/>
      <c r="G40" s="142"/>
      <c r="H40" s="142"/>
      <c r="I40" s="142"/>
      <c r="J40" s="142"/>
      <c r="K40" s="142"/>
      <c r="L40" s="142"/>
      <c r="M40" s="176"/>
      <c r="N40" s="176"/>
      <c r="O40" s="176"/>
      <c r="P40" s="176"/>
      <c r="Q40" s="176"/>
      <c r="R40" s="176"/>
      <c r="S40" s="176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6"/>
      <c r="AE40" s="178">
        <v>0.5</v>
      </c>
      <c r="AF40" s="142"/>
      <c r="AG40" s="142"/>
      <c r="AH40" s="142"/>
      <c r="AI40" s="142"/>
      <c r="AJ40" s="142"/>
      <c r="AK40" s="142"/>
      <c r="AL40" s="142"/>
      <c r="AM40" s="142"/>
      <c r="AN40" s="142"/>
      <c r="AO40" s="100"/>
      <c r="AP40" s="100"/>
      <c r="AQ40" s="100"/>
      <c r="AR40" s="100"/>
      <c r="AS40" s="100"/>
      <c r="AT40" s="100"/>
    </row>
    <row r="41" spans="4:50" hidden="1" outlineLevel="1" x14ac:dyDescent="0.15">
      <c r="D41" s="72" t="s">
        <v>122</v>
      </c>
      <c r="F41" s="160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79"/>
      <c r="AE41" s="179">
        <v>-16.174848750000013</v>
      </c>
      <c r="AF41" s="179">
        <v>12.847156015765048</v>
      </c>
      <c r="AG41" s="179">
        <v>25.577850461124985</v>
      </c>
      <c r="AH41" s="179">
        <v>25.204680668133758</v>
      </c>
      <c r="AI41" s="179">
        <v>32.48807108817774</v>
      </c>
      <c r="AJ41" s="179">
        <v>33.964463220823085</v>
      </c>
      <c r="AK41" s="179">
        <v>35.485147117447774</v>
      </c>
      <c r="AL41" s="179">
        <v>37.051451530971214</v>
      </c>
      <c r="AM41" s="179">
        <v>38.664745076900338</v>
      </c>
      <c r="AN41" s="179">
        <v>40.326437429207353</v>
      </c>
      <c r="AO41" s="100"/>
      <c r="AP41" s="100" t="s">
        <v>123</v>
      </c>
      <c r="AQ41" s="100"/>
      <c r="AR41" s="100"/>
      <c r="AS41" s="100"/>
      <c r="AT41" s="100"/>
    </row>
    <row r="42" spans="4:50" hidden="1" outlineLevel="1" x14ac:dyDescent="0.15">
      <c r="D42" s="181" t="s">
        <v>124</v>
      </c>
      <c r="F42" s="160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2"/>
      <c r="AE42" s="184">
        <v>-45.441591041666676</v>
      </c>
      <c r="AF42" s="185">
        <v>-20.844963658784145</v>
      </c>
      <c r="AG42" s="185">
        <v>-1.7542969916597322</v>
      </c>
      <c r="AH42" s="185">
        <v>3.3872456568151463</v>
      </c>
      <c r="AI42" s="185">
        <v>6.7524880265195861</v>
      </c>
      <c r="AJ42" s="185">
        <v>7.2059376673151814</v>
      </c>
      <c r="AK42" s="185">
        <v>7.6729907973346343</v>
      </c>
      <c r="AL42" s="185">
        <v>8.1540555212546746</v>
      </c>
      <c r="AM42" s="185">
        <v>8.6495521868923131</v>
      </c>
      <c r="AN42" s="186">
        <v>9.1599137524990812</v>
      </c>
      <c r="AO42" s="100"/>
      <c r="AP42" s="100"/>
      <c r="AQ42" s="100"/>
      <c r="AR42" s="100"/>
      <c r="AS42" s="100"/>
      <c r="AT42" s="100"/>
    </row>
    <row r="43" spans="4:50" hidden="1" outlineLevel="1" x14ac:dyDescent="0.15">
      <c r="D43" s="105" t="s">
        <v>125</v>
      </c>
      <c r="F43" s="160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2"/>
      <c r="AE43" s="182"/>
      <c r="AF43" s="169"/>
      <c r="AG43" s="169"/>
      <c r="AH43" s="169"/>
      <c r="AI43" s="169"/>
      <c r="AJ43" s="169"/>
      <c r="AK43" s="169"/>
      <c r="AL43" s="169"/>
      <c r="AM43" s="169"/>
      <c r="AN43" s="169"/>
      <c r="AO43" s="100"/>
      <c r="AP43" s="100"/>
      <c r="AQ43" s="100"/>
      <c r="AR43" s="100"/>
      <c r="AS43" s="100"/>
      <c r="AT43" s="100"/>
    </row>
    <row r="44" spans="4:50" hidden="1" outlineLevel="1" x14ac:dyDescent="0.15">
      <c r="D44" s="72" t="s">
        <v>34</v>
      </c>
      <c r="F44" s="160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2"/>
      <c r="AE44" s="187">
        <v>181.40999999999997</v>
      </c>
      <c r="AF44" s="187">
        <v>186.85229999999996</v>
      </c>
      <c r="AG44" s="187">
        <v>192.45786899999996</v>
      </c>
      <c r="AH44" s="187">
        <v>198.23160507</v>
      </c>
      <c r="AI44" s="187">
        <v>204.17855322209996</v>
      </c>
      <c r="AJ44" s="187">
        <v>210.30390981876297</v>
      </c>
      <c r="AK44" s="187">
        <v>216.61302711332581</v>
      </c>
      <c r="AL44" s="187">
        <v>223.11141792672566</v>
      </c>
      <c r="AM44" s="187">
        <v>229.80476046452736</v>
      </c>
      <c r="AN44" s="187">
        <v>236.69890327846321</v>
      </c>
      <c r="AO44" s="100"/>
      <c r="AP44" s="100"/>
      <c r="AQ44" s="100"/>
      <c r="AR44" s="100"/>
      <c r="AS44" s="100"/>
      <c r="AT44" s="100"/>
    </row>
    <row r="45" spans="4:50" hidden="1" outlineLevel="1" x14ac:dyDescent="0.15">
      <c r="D45" s="72" t="s">
        <v>126</v>
      </c>
      <c r="F45" s="160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2"/>
      <c r="AE45" s="188">
        <v>-130.43768999999998</v>
      </c>
      <c r="AF45" s="188">
        <v>-137.07382069999997</v>
      </c>
      <c r="AG45" s="188">
        <v>-135.09503532099998</v>
      </c>
      <c r="AH45" s="188">
        <v>-133.20388638063</v>
      </c>
      <c r="AI45" s="188">
        <v>-128.5030029720489</v>
      </c>
      <c r="AJ45" s="188">
        <v>-131.69509306121034</v>
      </c>
      <c r="AK45" s="188">
        <v>-134.98294585304666</v>
      </c>
      <c r="AL45" s="188">
        <v>-138.36943422863808</v>
      </c>
      <c r="AM45" s="188">
        <v>-141.85751725549719</v>
      </c>
      <c r="AN45" s="188">
        <v>-145.45024277316213</v>
      </c>
      <c r="AO45" s="100"/>
      <c r="AP45" s="100"/>
      <c r="AQ45" s="100"/>
      <c r="AR45" s="100"/>
      <c r="AS45" s="100"/>
      <c r="AT45" s="100"/>
    </row>
    <row r="46" spans="4:50" hidden="1" outlineLevel="1" x14ac:dyDescent="0.15">
      <c r="D46" s="72" t="s">
        <v>127</v>
      </c>
      <c r="F46" s="160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2"/>
      <c r="AE46" s="188">
        <v>-72.538775000000001</v>
      </c>
      <c r="AF46" s="188">
        <v>-32.648937945646601</v>
      </c>
      <c r="AG46" s="188">
        <v>-23.259033064166662</v>
      </c>
      <c r="AH46" s="188">
        <v>-31.421477798525</v>
      </c>
      <c r="AI46" s="188">
        <v>-32.358122132480744</v>
      </c>
      <c r="AJ46" s="188">
        <v>-33.322865796455169</v>
      </c>
      <c r="AK46" s="188">
        <v>-34.316551770348816</v>
      </c>
      <c r="AL46" s="188">
        <v>-35.340048323459293</v>
      </c>
      <c r="AM46" s="188">
        <v>-36.394249773163061</v>
      </c>
      <c r="AN46" s="188">
        <v>-37.480077266357952</v>
      </c>
      <c r="AO46" s="100"/>
      <c r="AP46" s="100"/>
      <c r="AQ46" s="100"/>
      <c r="AR46" s="100"/>
      <c r="AS46" s="100"/>
      <c r="AT46" s="100"/>
    </row>
    <row r="47" spans="4:50" hidden="1" outlineLevel="1" x14ac:dyDescent="0.15">
      <c r="D47" s="72" t="s">
        <v>128</v>
      </c>
      <c r="F47" s="160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2"/>
      <c r="AE47" s="188">
        <v>-49.805555555555557</v>
      </c>
      <c r="AF47" s="188">
        <v>-36.358055555555559</v>
      </c>
      <c r="AG47" s="188">
        <v>-19.390962962962966</v>
      </c>
      <c r="AH47" s="188">
        <v>-12.28679290300231</v>
      </c>
      <c r="AI47" s="188">
        <v>-12.655396690092378</v>
      </c>
      <c r="AJ47" s="188">
        <v>-13.035058590795147</v>
      </c>
      <c r="AK47" s="188">
        <v>-13.426110348519003</v>
      </c>
      <c r="AL47" s="188">
        <v>-13.828893658974573</v>
      </c>
      <c r="AM47" s="188">
        <v>-14.24376046874381</v>
      </c>
      <c r="AN47" s="188">
        <v>-14.671073282806125</v>
      </c>
      <c r="AO47" s="100"/>
      <c r="AP47" s="100"/>
      <c r="AQ47" s="100"/>
      <c r="AR47" s="100"/>
      <c r="AS47" s="100"/>
      <c r="AT47" s="100"/>
    </row>
    <row r="48" spans="4:50" hidden="1" outlineLevel="1" x14ac:dyDescent="0.15">
      <c r="D48" s="72" t="s">
        <v>129</v>
      </c>
      <c r="F48" s="160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2"/>
      <c r="AE48" s="189">
        <v>-56.666666666666664</v>
      </c>
      <c r="AF48" s="189">
        <v>-17</v>
      </c>
      <c r="AG48" s="189">
        <v>-4.5333333333333332</v>
      </c>
      <c r="AH48" s="189">
        <v>-11.795012259408637</v>
      </c>
      <c r="AI48" s="189">
        <v>-12.148862627190892</v>
      </c>
      <c r="AJ48" s="189">
        <v>-12.513328506006619</v>
      </c>
      <c r="AK48" s="189">
        <v>-12.888728361186818</v>
      </c>
      <c r="AL48" s="189">
        <v>-13.275390212022424</v>
      </c>
      <c r="AM48" s="189">
        <v>-13.673651918383095</v>
      </c>
      <c r="AN48" s="189">
        <v>-14.083861475934587</v>
      </c>
      <c r="AO48" s="100"/>
      <c r="AP48" s="100"/>
      <c r="AQ48" s="100"/>
      <c r="AR48" s="100"/>
      <c r="AS48" s="100"/>
      <c r="AT48" s="100"/>
    </row>
    <row r="49" spans="3:50" hidden="1" outlineLevel="1" x14ac:dyDescent="0.15">
      <c r="D49" s="181" t="s">
        <v>22</v>
      </c>
      <c r="F49" s="160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2"/>
      <c r="AE49" s="190">
        <v>-128.03868722222222</v>
      </c>
      <c r="AF49" s="190">
        <v>-36.228514201202174</v>
      </c>
      <c r="AG49" s="190">
        <v>10.179504318537019</v>
      </c>
      <c r="AH49" s="190">
        <v>9.5244357284340566</v>
      </c>
      <c r="AI49" s="190">
        <v>18.513168800287048</v>
      </c>
      <c r="AJ49" s="190">
        <v>19.737563864295698</v>
      </c>
      <c r="AK49" s="190">
        <v>20.998690780224518</v>
      </c>
      <c r="AL49" s="190">
        <v>22.297651503631293</v>
      </c>
      <c r="AM49" s="190">
        <v>23.635581048740214</v>
      </c>
      <c r="AN49" s="190">
        <v>25.013648480202409</v>
      </c>
      <c r="AO49" s="100"/>
      <c r="AP49" s="100"/>
      <c r="AQ49" s="100"/>
      <c r="AR49" s="100"/>
      <c r="AS49" s="100"/>
      <c r="AT49" s="100"/>
    </row>
    <row r="50" spans="3:50" hidden="1" outlineLevel="1" x14ac:dyDescent="0.15">
      <c r="F50" s="160"/>
      <c r="G50" s="100"/>
      <c r="H50" s="100"/>
      <c r="I50" s="100"/>
      <c r="J50" s="100"/>
      <c r="K50" s="100"/>
      <c r="L50" s="100"/>
    </row>
    <row r="51" spans="3:50" collapsed="1" x14ac:dyDescent="0.15">
      <c r="D51" s="97" t="s">
        <v>130</v>
      </c>
      <c r="E51" s="191"/>
      <c r="F51" s="192"/>
      <c r="G51" s="100"/>
      <c r="H51" s="100"/>
      <c r="I51" s="100"/>
      <c r="J51" s="100"/>
      <c r="K51" s="100"/>
      <c r="L51" s="100"/>
      <c r="AG51" s="193"/>
      <c r="AH51" s="193"/>
      <c r="AI51" s="193"/>
      <c r="AJ51" s="193"/>
      <c r="AK51" s="194"/>
      <c r="AL51" s="193"/>
      <c r="AM51" s="193"/>
      <c r="AN51" s="193"/>
    </row>
    <row r="52" spans="3:50" x14ac:dyDescent="0.15">
      <c r="C52" s="1" t="s">
        <v>131</v>
      </c>
      <c r="D52" s="195" t="s">
        <v>132</v>
      </c>
      <c r="E52" s="191"/>
      <c r="F52" s="117">
        <v>0.45900000000000002</v>
      </c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6"/>
      <c r="AE52" s="196"/>
      <c r="AF52" s="196"/>
      <c r="AG52" s="196"/>
      <c r="AH52" s="196"/>
      <c r="AI52" s="158"/>
      <c r="AJ52" s="158"/>
      <c r="AK52" s="158"/>
      <c r="AL52" s="158"/>
      <c r="AM52" s="158"/>
      <c r="AN52" s="158"/>
      <c r="AP52" s="198" t="s">
        <v>133</v>
      </c>
    </row>
    <row r="53" spans="3:50" x14ac:dyDescent="0.15">
      <c r="D53" s="199" t="s">
        <v>134</v>
      </c>
      <c r="E53" s="191"/>
      <c r="F53" s="136"/>
      <c r="G53" s="200">
        <v>16.486903620000014</v>
      </c>
      <c r="H53" s="200">
        <v>20.983331880000001</v>
      </c>
      <c r="I53" s="200">
        <v>23.980950719999996</v>
      </c>
      <c r="J53" s="200">
        <v>23.980950719999996</v>
      </c>
      <c r="K53" s="200">
        <v>23.980950719999996</v>
      </c>
      <c r="L53" s="200">
        <v>23.980950719999996</v>
      </c>
      <c r="M53" s="200">
        <v>25.47976014</v>
      </c>
      <c r="N53" s="200">
        <v>23.980950719999996</v>
      </c>
      <c r="O53" s="200">
        <v>25.47976014</v>
      </c>
      <c r="P53" s="200">
        <v>29.976188399999998</v>
      </c>
      <c r="Q53" s="200">
        <v>29.976188399999998</v>
      </c>
      <c r="R53" s="200">
        <v>31.474997820000002</v>
      </c>
      <c r="S53" s="200">
        <v>56.605035762000043</v>
      </c>
      <c r="T53" s="200">
        <v>72.042772788000008</v>
      </c>
      <c r="U53" s="200">
        <v>82.334597471999984</v>
      </c>
      <c r="V53" s="200">
        <v>82.334597471999984</v>
      </c>
      <c r="W53" s="200">
        <v>82.334597471999984</v>
      </c>
      <c r="X53" s="200">
        <v>82.334597471999984</v>
      </c>
      <c r="Y53" s="200">
        <v>87.480509814000001</v>
      </c>
      <c r="Z53" s="200">
        <v>82.334597471999984</v>
      </c>
      <c r="AA53" s="200">
        <v>87.480509814000001</v>
      </c>
      <c r="AB53" s="200">
        <v>102.91824683999999</v>
      </c>
      <c r="AC53" s="200">
        <v>102.91824683999999</v>
      </c>
      <c r="AD53" s="200">
        <v>108.064159182</v>
      </c>
      <c r="AE53" s="200">
        <v>299.76188399999995</v>
      </c>
      <c r="AF53" s="200">
        <v>1029.1824683999998</v>
      </c>
      <c r="AG53" s="200">
        <v>3975.2172841949996</v>
      </c>
      <c r="AH53" s="200">
        <v>9098.8306727130002</v>
      </c>
      <c r="AI53" s="200">
        <v>11714.744491117986</v>
      </c>
      <c r="AJ53" s="200">
        <v>16892.661556192135</v>
      </c>
      <c r="AK53" s="200">
        <v>21873.583477903645</v>
      </c>
      <c r="AL53" s="200">
        <v>24782.770080464838</v>
      </c>
      <c r="AM53" s="200">
        <v>28078.878501166659</v>
      </c>
      <c r="AN53" s="200">
        <v>31813.369341821832</v>
      </c>
      <c r="AP53" s="201">
        <v>0.74695507228717606</v>
      </c>
    </row>
    <row r="54" spans="3:50" x14ac:dyDescent="0.15">
      <c r="C54" s="202"/>
      <c r="D54" s="195" t="s">
        <v>135</v>
      </c>
      <c r="E54" s="203" t="s">
        <v>136</v>
      </c>
      <c r="F54" s="204">
        <v>0.44</v>
      </c>
      <c r="G54" s="200">
        <v>0.43560000000000043</v>
      </c>
      <c r="H54" s="200">
        <v>0.55440000000000011</v>
      </c>
      <c r="I54" s="200">
        <v>0.63360000000000005</v>
      </c>
      <c r="J54" s="200">
        <v>0.63360000000000005</v>
      </c>
      <c r="K54" s="200">
        <v>0.63360000000000005</v>
      </c>
      <c r="L54" s="200">
        <v>0.63360000000000005</v>
      </c>
      <c r="M54" s="200">
        <v>0.67320000000000013</v>
      </c>
      <c r="N54" s="200">
        <v>0.63360000000000005</v>
      </c>
      <c r="O54" s="200">
        <v>0.67320000000000013</v>
      </c>
      <c r="P54" s="200">
        <v>0.79200000000000004</v>
      </c>
      <c r="Q54" s="200">
        <v>0.79200000000000004</v>
      </c>
      <c r="R54" s="200">
        <v>0.83160000000000012</v>
      </c>
      <c r="S54" s="200">
        <v>1.4955600000000013</v>
      </c>
      <c r="T54" s="200">
        <v>1.9034400000000007</v>
      </c>
      <c r="U54" s="200">
        <v>2.1753600000000004</v>
      </c>
      <c r="V54" s="200">
        <v>2.1753600000000004</v>
      </c>
      <c r="W54" s="200">
        <v>2.1753600000000004</v>
      </c>
      <c r="X54" s="200">
        <v>2.1753600000000004</v>
      </c>
      <c r="Y54" s="200">
        <v>2.3113200000000007</v>
      </c>
      <c r="Z54" s="200">
        <v>2.1753600000000004</v>
      </c>
      <c r="AA54" s="200">
        <v>2.3113200000000007</v>
      </c>
      <c r="AB54" s="200">
        <v>2.7191999999999998</v>
      </c>
      <c r="AC54" s="200">
        <v>2.7191999999999998</v>
      </c>
      <c r="AD54" s="200">
        <v>2.8551600000000001</v>
      </c>
      <c r="AE54" s="200">
        <v>7.92</v>
      </c>
      <c r="AF54" s="200">
        <v>27.192000000000004</v>
      </c>
      <c r="AG54" s="200">
        <v>105.02910000000001</v>
      </c>
      <c r="AH54" s="200">
        <v>240.39994000000002</v>
      </c>
      <c r="AI54" s="200">
        <v>309.51492274999998</v>
      </c>
      <c r="AJ54" s="200">
        <v>446.32051860549996</v>
      </c>
      <c r="AK54" s="200">
        <v>577.92131152003606</v>
      </c>
      <c r="AL54" s="200">
        <v>654.78484595220084</v>
      </c>
      <c r="AM54" s="200">
        <v>741.87123046384352</v>
      </c>
      <c r="AN54" s="200">
        <v>840.54010411553509</v>
      </c>
      <c r="AP54" s="205">
        <v>1.9735278193389109E-2</v>
      </c>
    </row>
    <row r="55" spans="3:50" x14ac:dyDescent="0.15">
      <c r="D55" s="105" t="s">
        <v>137</v>
      </c>
      <c r="E55" s="191"/>
      <c r="F55" s="136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P55" s="205"/>
    </row>
    <row r="56" spans="3:50" x14ac:dyDescent="0.15">
      <c r="D56" s="206" t="s">
        <v>138</v>
      </c>
      <c r="E56" s="191"/>
      <c r="F56" s="207"/>
      <c r="G56" s="208">
        <v>198.00000000000017</v>
      </c>
      <c r="H56" s="208">
        <v>252.00000000000003</v>
      </c>
      <c r="I56" s="208">
        <v>288</v>
      </c>
      <c r="J56" s="208">
        <v>288</v>
      </c>
      <c r="K56" s="208">
        <v>288</v>
      </c>
      <c r="L56" s="208">
        <v>288</v>
      </c>
      <c r="M56" s="208">
        <v>306</v>
      </c>
      <c r="N56" s="208">
        <v>288</v>
      </c>
      <c r="O56" s="208">
        <v>306</v>
      </c>
      <c r="P56" s="208">
        <v>360</v>
      </c>
      <c r="Q56" s="208">
        <v>360</v>
      </c>
      <c r="R56" s="208">
        <v>378</v>
      </c>
      <c r="S56" s="208">
        <v>660.00000000000057</v>
      </c>
      <c r="T56" s="208">
        <v>840.00000000000011</v>
      </c>
      <c r="U56" s="208">
        <v>960</v>
      </c>
      <c r="V56" s="208">
        <v>960</v>
      </c>
      <c r="W56" s="208">
        <v>960</v>
      </c>
      <c r="X56" s="208">
        <v>960</v>
      </c>
      <c r="Y56" s="208">
        <v>1020.0000000000001</v>
      </c>
      <c r="Z56" s="208">
        <v>960</v>
      </c>
      <c r="AA56" s="208">
        <v>1020.0000000000001</v>
      </c>
      <c r="AB56" s="208">
        <v>1200</v>
      </c>
      <c r="AC56" s="208">
        <v>1200</v>
      </c>
      <c r="AD56" s="208">
        <v>1260</v>
      </c>
      <c r="AE56" s="208">
        <v>3600</v>
      </c>
      <c r="AF56" s="208">
        <v>12000</v>
      </c>
      <c r="AG56" s="208">
        <v>45000</v>
      </c>
      <c r="AH56" s="208">
        <v>100000</v>
      </c>
      <c r="AI56" s="208">
        <v>125000</v>
      </c>
      <c r="AJ56" s="208">
        <v>175000</v>
      </c>
      <c r="AK56" s="208">
        <v>220000</v>
      </c>
      <c r="AL56" s="208">
        <v>242000.00000000003</v>
      </c>
      <c r="AM56" s="208">
        <v>266200.00000000006</v>
      </c>
      <c r="AN56" s="208">
        <v>292820.00000000012</v>
      </c>
      <c r="AP56" s="209"/>
      <c r="AQ56" s="100"/>
      <c r="AS56" s="210"/>
      <c r="AT56" s="210"/>
      <c r="AU56" s="210"/>
      <c r="AV56" s="210"/>
      <c r="AW56" s="210"/>
      <c r="AX56" s="210"/>
    </row>
    <row r="57" spans="3:50" x14ac:dyDescent="0.15">
      <c r="C57" s="1" t="s">
        <v>139</v>
      </c>
      <c r="D57" s="206" t="s">
        <v>140</v>
      </c>
      <c r="E57" s="191"/>
      <c r="F57" s="207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11">
        <v>0.01</v>
      </c>
      <c r="AF57" s="211">
        <v>8.0000000000000002E-3</v>
      </c>
      <c r="AG57" s="211">
        <v>6.0000000000000001E-3</v>
      </c>
      <c r="AH57" s="211">
        <v>4.0000000000000001E-3</v>
      </c>
      <c r="AI57" s="211">
        <v>2E-3</v>
      </c>
      <c r="AJ57" s="212">
        <v>2E-3</v>
      </c>
      <c r="AK57" s="212">
        <v>2E-3</v>
      </c>
      <c r="AL57" s="212">
        <v>2E-3</v>
      </c>
      <c r="AM57" s="212">
        <v>2E-3</v>
      </c>
      <c r="AN57" s="212">
        <v>2E-3</v>
      </c>
      <c r="AP57" s="209"/>
      <c r="AQ57" s="100"/>
      <c r="AS57" s="210"/>
      <c r="AT57" s="210"/>
      <c r="AU57" s="210"/>
      <c r="AV57" s="210"/>
      <c r="AW57" s="210"/>
      <c r="AX57" s="210"/>
    </row>
    <row r="58" spans="3:50" x14ac:dyDescent="0.15">
      <c r="C58" s="1" t="s">
        <v>141</v>
      </c>
      <c r="D58" s="206" t="s">
        <v>142</v>
      </c>
      <c r="E58" s="213" t="s">
        <v>143</v>
      </c>
      <c r="F58" s="214">
        <v>1.4E-2</v>
      </c>
      <c r="G58" s="200"/>
      <c r="H58" s="200"/>
      <c r="I58" s="200"/>
      <c r="J58" s="200"/>
      <c r="K58" s="200"/>
      <c r="L58" s="200"/>
      <c r="AE58" s="211">
        <v>1.4E-2</v>
      </c>
      <c r="AF58" s="211">
        <v>1.7999999999999999E-2</v>
      </c>
      <c r="AG58" s="211">
        <v>1.6E-2</v>
      </c>
      <c r="AH58" s="211">
        <v>1.4E-2</v>
      </c>
      <c r="AI58" s="211">
        <v>0.01</v>
      </c>
      <c r="AJ58" s="215">
        <v>0.01</v>
      </c>
      <c r="AK58" s="215">
        <v>0.01</v>
      </c>
      <c r="AL58" s="215">
        <v>0.01</v>
      </c>
      <c r="AM58" s="215">
        <v>0.01</v>
      </c>
      <c r="AN58" s="215">
        <v>0.01</v>
      </c>
      <c r="AP58" s="209"/>
      <c r="AQ58" s="113"/>
      <c r="AS58" s="210"/>
      <c r="AT58" s="210"/>
      <c r="AU58" s="210"/>
      <c r="AV58" s="210"/>
      <c r="AW58" s="210"/>
      <c r="AX58" s="210"/>
    </row>
    <row r="59" spans="3:50" x14ac:dyDescent="0.15">
      <c r="D59" s="199" t="s">
        <v>144</v>
      </c>
      <c r="E59" s="95"/>
      <c r="F59" s="216"/>
      <c r="G59" s="217">
        <v>4.7520000000000042</v>
      </c>
      <c r="H59" s="217">
        <v>6.0480000000000009</v>
      </c>
      <c r="I59" s="217">
        <v>6.9119999999999999</v>
      </c>
      <c r="J59" s="217">
        <v>6.9119999999999999</v>
      </c>
      <c r="K59" s="217">
        <v>6.9119999999999999</v>
      </c>
      <c r="L59" s="217">
        <v>6.9119999999999999</v>
      </c>
      <c r="M59" s="217">
        <v>7.3440000000000003</v>
      </c>
      <c r="N59" s="217">
        <v>6.9119999999999999</v>
      </c>
      <c r="O59" s="217">
        <v>7.3440000000000003</v>
      </c>
      <c r="P59" s="217">
        <v>8.64</v>
      </c>
      <c r="Q59" s="217">
        <v>8.64</v>
      </c>
      <c r="R59" s="217">
        <v>9.072000000000001</v>
      </c>
      <c r="S59" s="217">
        <v>17.160000000000014</v>
      </c>
      <c r="T59" s="217">
        <v>21.840000000000003</v>
      </c>
      <c r="U59" s="217">
        <v>24.959999999999997</v>
      </c>
      <c r="V59" s="217">
        <v>24.959999999999997</v>
      </c>
      <c r="W59" s="217">
        <v>24.959999999999997</v>
      </c>
      <c r="X59" s="217">
        <v>24.959999999999997</v>
      </c>
      <c r="Y59" s="217">
        <v>26.520000000000003</v>
      </c>
      <c r="Z59" s="217">
        <v>24.959999999999997</v>
      </c>
      <c r="AA59" s="217">
        <v>26.520000000000003</v>
      </c>
      <c r="AB59" s="217">
        <v>31.2</v>
      </c>
      <c r="AC59" s="217">
        <v>31.2</v>
      </c>
      <c r="AD59" s="217">
        <v>32.76</v>
      </c>
      <c r="AE59" s="217">
        <v>86.4</v>
      </c>
      <c r="AF59" s="217">
        <v>312</v>
      </c>
      <c r="AG59" s="217">
        <v>989.99999999999989</v>
      </c>
      <c r="AH59" s="217">
        <v>1800.0000000000002</v>
      </c>
      <c r="AI59" s="217">
        <v>1500</v>
      </c>
      <c r="AJ59" s="217">
        <v>2100</v>
      </c>
      <c r="AK59" s="217">
        <v>2640</v>
      </c>
      <c r="AL59" s="217">
        <v>2904.0000000000005</v>
      </c>
      <c r="AM59" s="217">
        <v>3194.4000000000005</v>
      </c>
      <c r="AN59" s="217">
        <v>3513.8400000000015</v>
      </c>
      <c r="AP59" s="205">
        <v>8.2502440499289356E-2</v>
      </c>
      <c r="AQ59" s="100"/>
      <c r="AS59" s="210"/>
      <c r="AT59" s="210"/>
      <c r="AU59" s="210"/>
      <c r="AV59" s="210"/>
      <c r="AW59" s="210"/>
      <c r="AX59" s="210"/>
    </row>
    <row r="60" spans="3:50" x14ac:dyDescent="0.15">
      <c r="C60" s="1" t="s">
        <v>145</v>
      </c>
      <c r="D60" s="195" t="s">
        <v>146</v>
      </c>
      <c r="E60" s="191"/>
      <c r="F60" s="218">
        <v>0.8</v>
      </c>
      <c r="G60" s="200"/>
      <c r="H60" s="200"/>
      <c r="I60" s="200"/>
      <c r="J60" s="200"/>
      <c r="K60" s="200"/>
      <c r="L60" s="200"/>
      <c r="M60" s="217"/>
      <c r="N60" s="217"/>
      <c r="O60" s="217"/>
      <c r="P60" s="217"/>
      <c r="Q60" s="217"/>
      <c r="R60" s="217"/>
      <c r="S60" s="217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7"/>
      <c r="AE60" s="217"/>
      <c r="AF60" s="217"/>
      <c r="AG60" s="217"/>
      <c r="AH60" s="217"/>
      <c r="AI60" s="217"/>
      <c r="AJ60" s="217"/>
      <c r="AK60" s="217"/>
      <c r="AL60" s="217"/>
      <c r="AM60" s="217"/>
      <c r="AN60" s="217"/>
      <c r="AP60" s="209"/>
      <c r="AQ60" s="100"/>
      <c r="AS60" s="210"/>
      <c r="AT60" s="210"/>
      <c r="AU60" s="210"/>
      <c r="AV60" s="210"/>
      <c r="AW60" s="210"/>
      <c r="AX60" s="210"/>
    </row>
    <row r="61" spans="3:50" x14ac:dyDescent="0.15">
      <c r="D61" s="195" t="s">
        <v>147</v>
      </c>
      <c r="E61" s="191"/>
      <c r="F61" s="220"/>
      <c r="G61" s="219">
        <v>158.40000000000015</v>
      </c>
      <c r="H61" s="219">
        <v>201.60000000000002</v>
      </c>
      <c r="I61" s="219">
        <v>230.4</v>
      </c>
      <c r="J61" s="219">
        <v>230.4</v>
      </c>
      <c r="K61" s="219">
        <v>230.4</v>
      </c>
      <c r="L61" s="219">
        <v>230.4</v>
      </c>
      <c r="M61" s="219">
        <v>244.8</v>
      </c>
      <c r="N61" s="219">
        <v>230.4</v>
      </c>
      <c r="O61" s="219">
        <v>244.8</v>
      </c>
      <c r="P61" s="219">
        <v>288</v>
      </c>
      <c r="Q61" s="219">
        <v>288</v>
      </c>
      <c r="R61" s="219">
        <v>302.40000000000003</v>
      </c>
      <c r="S61" s="219">
        <v>528.00000000000045</v>
      </c>
      <c r="T61" s="219">
        <v>672.00000000000011</v>
      </c>
      <c r="U61" s="219">
        <v>768</v>
      </c>
      <c r="V61" s="219">
        <v>768</v>
      </c>
      <c r="W61" s="219">
        <v>768</v>
      </c>
      <c r="X61" s="219">
        <v>768</v>
      </c>
      <c r="Y61" s="219">
        <v>816.00000000000011</v>
      </c>
      <c r="Z61" s="219">
        <v>768</v>
      </c>
      <c r="AA61" s="219">
        <v>816.00000000000011</v>
      </c>
      <c r="AB61" s="219">
        <v>960</v>
      </c>
      <c r="AC61" s="219">
        <v>960</v>
      </c>
      <c r="AD61" s="219">
        <v>1008</v>
      </c>
      <c r="AE61" s="219">
        <v>2880</v>
      </c>
      <c r="AF61" s="219">
        <v>9600</v>
      </c>
      <c r="AG61" s="219">
        <v>36000</v>
      </c>
      <c r="AH61" s="219">
        <v>80000</v>
      </c>
      <c r="AI61" s="219">
        <v>100000</v>
      </c>
      <c r="AJ61" s="219">
        <v>140000</v>
      </c>
      <c r="AK61" s="219">
        <v>176000</v>
      </c>
      <c r="AL61" s="219">
        <v>193600.00000000003</v>
      </c>
      <c r="AM61" s="219">
        <v>212960.00000000006</v>
      </c>
      <c r="AN61" s="219">
        <v>234256.00000000012</v>
      </c>
      <c r="AP61" s="209"/>
      <c r="AQ61" s="100"/>
      <c r="AS61" s="210"/>
      <c r="AT61" s="210"/>
      <c r="AU61" s="210"/>
      <c r="AV61" s="210"/>
      <c r="AW61" s="210"/>
      <c r="AX61" s="210"/>
    </row>
    <row r="62" spans="3:50" x14ac:dyDescent="0.15">
      <c r="C62" s="1" t="s">
        <v>148</v>
      </c>
      <c r="D62" s="181" t="s">
        <v>149</v>
      </c>
      <c r="E62" s="154" t="s">
        <v>150</v>
      </c>
      <c r="F62" s="221">
        <v>7.0000000000000001E-3</v>
      </c>
      <c r="G62" s="217">
        <v>1.1088000000000011</v>
      </c>
      <c r="H62" s="217">
        <v>1.4112000000000002</v>
      </c>
      <c r="I62" s="217">
        <v>1.6128</v>
      </c>
      <c r="J62" s="217">
        <v>1.6128</v>
      </c>
      <c r="K62" s="217">
        <v>1.6128</v>
      </c>
      <c r="L62" s="217">
        <v>1.6128</v>
      </c>
      <c r="M62" s="217">
        <v>1.7136</v>
      </c>
      <c r="N62" s="217">
        <v>1.6128</v>
      </c>
      <c r="O62" s="217">
        <v>1.7136</v>
      </c>
      <c r="P62" s="217">
        <v>2.016</v>
      </c>
      <c r="Q62" s="217">
        <v>2.016</v>
      </c>
      <c r="R62" s="217">
        <v>2.1168000000000005</v>
      </c>
      <c r="S62" s="217">
        <v>3.6960000000000033</v>
      </c>
      <c r="T62" s="217">
        <v>4.7040000000000006</v>
      </c>
      <c r="U62" s="217">
        <v>5.3760000000000003</v>
      </c>
      <c r="V62" s="217">
        <v>5.3760000000000003</v>
      </c>
      <c r="W62" s="217">
        <v>5.3760000000000003</v>
      </c>
      <c r="X62" s="217">
        <v>5.3760000000000003</v>
      </c>
      <c r="Y62" s="217">
        <v>5.7120000000000006</v>
      </c>
      <c r="Z62" s="217">
        <v>5.3760000000000003</v>
      </c>
      <c r="AA62" s="217">
        <v>5.7120000000000006</v>
      </c>
      <c r="AB62" s="217">
        <v>6.72</v>
      </c>
      <c r="AC62" s="217">
        <v>6.72</v>
      </c>
      <c r="AD62" s="217">
        <v>7.056</v>
      </c>
      <c r="AE62" s="217">
        <v>20.16</v>
      </c>
      <c r="AF62" s="217">
        <v>67.2</v>
      </c>
      <c r="AG62" s="217">
        <v>252</v>
      </c>
      <c r="AH62" s="217">
        <v>560</v>
      </c>
      <c r="AI62" s="217">
        <v>700</v>
      </c>
      <c r="AJ62" s="217">
        <v>980</v>
      </c>
      <c r="AK62" s="217">
        <v>1232</v>
      </c>
      <c r="AL62" s="217">
        <v>1355.2000000000003</v>
      </c>
      <c r="AM62" s="217">
        <v>1490.7200000000005</v>
      </c>
      <c r="AN62" s="217">
        <v>1639.7920000000008</v>
      </c>
      <c r="AP62" s="222">
        <v>3.8501138899668372E-2</v>
      </c>
      <c r="AQ62" s="113"/>
      <c r="AS62" s="210"/>
      <c r="AT62" s="210"/>
      <c r="AU62" s="210"/>
      <c r="AV62" s="210"/>
      <c r="AW62" s="210"/>
      <c r="AX62" s="210"/>
    </row>
    <row r="63" spans="3:50" x14ac:dyDescent="0.15">
      <c r="D63" s="105" t="s">
        <v>151</v>
      </c>
      <c r="E63" s="100"/>
      <c r="F63" s="223"/>
      <c r="G63" s="200"/>
      <c r="H63" s="200"/>
      <c r="I63" s="200"/>
      <c r="J63" s="200"/>
      <c r="K63" s="200"/>
      <c r="L63" s="200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P63" s="222"/>
      <c r="AQ63" s="100"/>
      <c r="AS63" s="210"/>
      <c r="AT63" s="210"/>
      <c r="AU63" s="210"/>
      <c r="AV63" s="210"/>
      <c r="AW63" s="210"/>
      <c r="AX63" s="210"/>
    </row>
    <row r="64" spans="3:50" x14ac:dyDescent="0.15">
      <c r="C64" s="1" t="s">
        <v>152</v>
      </c>
      <c r="D64" s="206" t="s">
        <v>153</v>
      </c>
      <c r="E64" s="191"/>
      <c r="F64" s="224">
        <v>0.25</v>
      </c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P64" s="205"/>
      <c r="AQ64" s="100"/>
      <c r="AS64" s="210"/>
      <c r="AU64" s="210"/>
      <c r="AV64" s="210"/>
      <c r="AW64" s="210"/>
      <c r="AX64" s="210"/>
    </row>
    <row r="65" spans="3:50" x14ac:dyDescent="0.15">
      <c r="C65" s="1" t="s">
        <v>154</v>
      </c>
      <c r="D65" s="206" t="s">
        <v>155</v>
      </c>
      <c r="E65" s="191"/>
      <c r="F65" s="224">
        <v>0.8</v>
      </c>
      <c r="G65" s="200"/>
      <c r="H65" s="200"/>
      <c r="I65" s="200"/>
      <c r="J65" s="200"/>
      <c r="K65" s="200"/>
      <c r="L65" s="200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P65" s="209"/>
      <c r="AQ65" s="100"/>
      <c r="AS65" s="210"/>
      <c r="AT65" s="206"/>
      <c r="AU65" s="225"/>
      <c r="AV65" s="210"/>
      <c r="AW65" s="210"/>
      <c r="AX65" s="210"/>
    </row>
    <row r="66" spans="3:50" x14ac:dyDescent="0.15">
      <c r="D66" s="206" t="s">
        <v>156</v>
      </c>
      <c r="E66" s="191"/>
      <c r="F66" s="226"/>
      <c r="G66" s="200">
        <v>1.795959000000001</v>
      </c>
      <c r="H66" s="200">
        <v>2.2857659999999993</v>
      </c>
      <c r="I66" s="200">
        <v>2.6123039999999991</v>
      </c>
      <c r="J66" s="200">
        <v>2.6123039999999991</v>
      </c>
      <c r="K66" s="200">
        <v>2.6123039999999991</v>
      </c>
      <c r="L66" s="200">
        <v>2.6123039999999991</v>
      </c>
      <c r="M66" s="200">
        <v>2.7755729999999992</v>
      </c>
      <c r="N66" s="200">
        <v>2.6123039999999991</v>
      </c>
      <c r="O66" s="200">
        <v>2.7755729999999992</v>
      </c>
      <c r="P66" s="200">
        <v>3.2653799999999991</v>
      </c>
      <c r="Q66" s="200">
        <v>3.2653799999999991</v>
      </c>
      <c r="R66" s="200">
        <v>3.4286489999999992</v>
      </c>
      <c r="S66" s="200">
        <v>6.1661259000000026</v>
      </c>
      <c r="T66" s="200">
        <v>7.8477965999999988</v>
      </c>
      <c r="U66" s="200">
        <v>8.9689103999999968</v>
      </c>
      <c r="V66" s="200">
        <v>8.9689103999999968</v>
      </c>
      <c r="W66" s="200">
        <v>8.9689103999999968</v>
      </c>
      <c r="X66" s="200">
        <v>8.9689103999999968</v>
      </c>
      <c r="Y66" s="200">
        <v>9.5294672999999985</v>
      </c>
      <c r="Z66" s="200">
        <v>8.9689103999999968</v>
      </c>
      <c r="AA66" s="200">
        <v>9.5294672999999985</v>
      </c>
      <c r="AB66" s="200">
        <v>11.211137999999996</v>
      </c>
      <c r="AC66" s="200">
        <v>11.211137999999996</v>
      </c>
      <c r="AD66" s="200">
        <v>11.771694899999996</v>
      </c>
      <c r="AE66" s="200">
        <v>32.65379999999999</v>
      </c>
      <c r="AF66" s="200">
        <v>112.11137999999995</v>
      </c>
      <c r="AG66" s="200">
        <v>433.03020524999982</v>
      </c>
      <c r="AH66" s="200">
        <v>991.15802534999978</v>
      </c>
      <c r="AI66" s="200">
        <v>1276.1159576381244</v>
      </c>
      <c r="AJ66" s="200">
        <v>1840.1592109141754</v>
      </c>
      <c r="AK66" s="200">
        <v>2382.7432982465834</v>
      </c>
      <c r="AL66" s="200">
        <v>2699.6481569133803</v>
      </c>
      <c r="AM66" s="200">
        <v>3058.7013617828593</v>
      </c>
      <c r="AN66" s="200">
        <v>3465.5086428999807</v>
      </c>
      <c r="AP66" s="209"/>
      <c r="AQ66" s="100"/>
      <c r="AS66" s="210"/>
      <c r="AT66" s="206"/>
      <c r="AU66" s="225"/>
      <c r="AV66" s="210"/>
      <c r="AW66" s="210"/>
      <c r="AX66" s="210"/>
    </row>
    <row r="67" spans="3:50" x14ac:dyDescent="0.15">
      <c r="D67" s="206" t="s">
        <v>157</v>
      </c>
      <c r="E67" s="191"/>
      <c r="F67" s="207"/>
      <c r="G67" s="219">
        <v>89.10000000000008</v>
      </c>
      <c r="H67" s="219">
        <v>113.4</v>
      </c>
      <c r="I67" s="219">
        <v>129.6</v>
      </c>
      <c r="J67" s="219">
        <v>129.6</v>
      </c>
      <c r="K67" s="219">
        <v>129.6</v>
      </c>
      <c r="L67" s="219">
        <v>129.6</v>
      </c>
      <c r="M67" s="219">
        <v>137.69999999999999</v>
      </c>
      <c r="N67" s="219">
        <v>129.6</v>
      </c>
      <c r="O67" s="219">
        <v>137.69999999999999</v>
      </c>
      <c r="P67" s="219">
        <v>162</v>
      </c>
      <c r="Q67" s="219">
        <v>162</v>
      </c>
      <c r="R67" s="219">
        <v>170.10000000000002</v>
      </c>
      <c r="S67" s="219">
        <v>297.00000000000023</v>
      </c>
      <c r="T67" s="219">
        <v>378.00000000000006</v>
      </c>
      <c r="U67" s="219">
        <v>432</v>
      </c>
      <c r="V67" s="219">
        <v>432</v>
      </c>
      <c r="W67" s="219">
        <v>432</v>
      </c>
      <c r="X67" s="219">
        <v>432</v>
      </c>
      <c r="Y67" s="219">
        <v>459.00000000000006</v>
      </c>
      <c r="Z67" s="219">
        <v>432</v>
      </c>
      <c r="AA67" s="219">
        <v>459.00000000000006</v>
      </c>
      <c r="AB67" s="219">
        <v>540</v>
      </c>
      <c r="AC67" s="219">
        <v>540</v>
      </c>
      <c r="AD67" s="219">
        <v>567</v>
      </c>
      <c r="AE67" s="219">
        <v>1620</v>
      </c>
      <c r="AF67" s="219">
        <v>5400</v>
      </c>
      <c r="AG67" s="219">
        <v>20250</v>
      </c>
      <c r="AH67" s="219">
        <v>45000</v>
      </c>
      <c r="AI67" s="219">
        <v>56250</v>
      </c>
      <c r="AJ67" s="219">
        <v>78750</v>
      </c>
      <c r="AK67" s="219">
        <v>99000</v>
      </c>
      <c r="AL67" s="219">
        <v>108900.00000000001</v>
      </c>
      <c r="AM67" s="219">
        <v>119790.00000000003</v>
      </c>
      <c r="AN67" s="219">
        <v>131769.00000000006</v>
      </c>
      <c r="AP67" s="209"/>
      <c r="AQ67" s="100"/>
      <c r="AS67" s="210"/>
      <c r="AT67" s="227"/>
      <c r="AU67" s="225"/>
      <c r="AV67" s="210"/>
      <c r="AW67" s="210"/>
      <c r="AX67" s="210"/>
    </row>
    <row r="68" spans="3:50" x14ac:dyDescent="0.15">
      <c r="D68" s="206" t="s">
        <v>158</v>
      </c>
      <c r="E68" s="191"/>
      <c r="F68" s="207"/>
      <c r="G68" s="217">
        <v>1.2474000000000012</v>
      </c>
      <c r="H68" s="217">
        <v>1.5876000000000001</v>
      </c>
      <c r="I68" s="217">
        <v>1.8144</v>
      </c>
      <c r="J68" s="217">
        <v>1.8144</v>
      </c>
      <c r="K68" s="217">
        <v>1.8144</v>
      </c>
      <c r="L68" s="217">
        <v>1.8144</v>
      </c>
      <c r="M68" s="217">
        <v>1.9278</v>
      </c>
      <c r="N68" s="217">
        <v>1.8144</v>
      </c>
      <c r="O68" s="217">
        <v>1.9278</v>
      </c>
      <c r="P68" s="217">
        <v>2.2680000000000002</v>
      </c>
      <c r="Q68" s="217">
        <v>2.2680000000000002</v>
      </c>
      <c r="R68" s="217">
        <v>2.3814000000000002</v>
      </c>
      <c r="S68" s="217">
        <v>5.3460000000000036</v>
      </c>
      <c r="T68" s="217">
        <v>6.8040000000000003</v>
      </c>
      <c r="U68" s="217">
        <v>7.7759999999999998</v>
      </c>
      <c r="V68" s="217">
        <v>7.7759999999999998</v>
      </c>
      <c r="W68" s="217">
        <v>7.7759999999999998</v>
      </c>
      <c r="X68" s="217">
        <v>7.7759999999999998</v>
      </c>
      <c r="Y68" s="217">
        <v>8.2620000000000005</v>
      </c>
      <c r="Z68" s="217">
        <v>7.7759999999999998</v>
      </c>
      <c r="AA68" s="217">
        <v>8.2620000000000005</v>
      </c>
      <c r="AB68" s="217">
        <v>9.7199999999999989</v>
      </c>
      <c r="AC68" s="217">
        <v>9.7199999999999989</v>
      </c>
      <c r="AD68" s="217">
        <v>10.206</v>
      </c>
      <c r="AE68" s="217">
        <v>22.68</v>
      </c>
      <c r="AF68" s="217">
        <v>97.199999999999989</v>
      </c>
      <c r="AG68" s="217">
        <v>324</v>
      </c>
      <c r="AH68" s="217">
        <v>630</v>
      </c>
      <c r="AI68" s="217">
        <v>562.5</v>
      </c>
      <c r="AJ68" s="217">
        <v>787.5</v>
      </c>
      <c r="AK68" s="217">
        <v>990</v>
      </c>
      <c r="AL68" s="217">
        <v>1089.0000000000002</v>
      </c>
      <c r="AM68" s="217">
        <v>1197.9000000000003</v>
      </c>
      <c r="AN68" s="217">
        <v>1317.6900000000005</v>
      </c>
      <c r="AP68" s="209"/>
      <c r="AQ68" s="100"/>
      <c r="AS68" s="210"/>
      <c r="AT68" s="227"/>
      <c r="AU68" s="225"/>
      <c r="AV68" s="210"/>
      <c r="AW68" s="210"/>
      <c r="AX68" s="210"/>
    </row>
    <row r="69" spans="3:50" x14ac:dyDescent="0.15">
      <c r="D69" s="199" t="s">
        <v>159</v>
      </c>
      <c r="E69" s="191"/>
      <c r="F69" s="207"/>
      <c r="G69" s="200">
        <v>3.0433590000000024</v>
      </c>
      <c r="H69" s="200">
        <v>3.8733659999999994</v>
      </c>
      <c r="I69" s="200">
        <v>4.4267039999999991</v>
      </c>
      <c r="J69" s="200">
        <v>4.4267039999999991</v>
      </c>
      <c r="K69" s="200">
        <v>4.4267039999999991</v>
      </c>
      <c r="L69" s="200">
        <v>4.4267039999999991</v>
      </c>
      <c r="M69" s="200">
        <v>4.7033729999999991</v>
      </c>
      <c r="N69" s="200">
        <v>4.4267039999999991</v>
      </c>
      <c r="O69" s="200">
        <v>4.7033729999999991</v>
      </c>
      <c r="P69" s="200">
        <v>5.5333799999999993</v>
      </c>
      <c r="Q69" s="200">
        <v>5.5333799999999993</v>
      </c>
      <c r="R69" s="200">
        <v>5.8100489999999994</v>
      </c>
      <c r="S69" s="200">
        <v>11.512125900000006</v>
      </c>
      <c r="T69" s="200">
        <v>14.651796599999999</v>
      </c>
      <c r="U69" s="200">
        <v>16.744910399999995</v>
      </c>
      <c r="V69" s="200">
        <v>16.744910399999995</v>
      </c>
      <c r="W69" s="200">
        <v>16.744910399999995</v>
      </c>
      <c r="X69" s="200">
        <v>16.744910399999995</v>
      </c>
      <c r="Y69" s="200">
        <v>17.791467300000001</v>
      </c>
      <c r="Z69" s="200">
        <v>16.744910399999995</v>
      </c>
      <c r="AA69" s="200">
        <v>17.791467300000001</v>
      </c>
      <c r="AB69" s="200">
        <v>20.931137999999997</v>
      </c>
      <c r="AC69" s="200">
        <v>20.931137999999997</v>
      </c>
      <c r="AD69" s="200">
        <v>21.977694899999996</v>
      </c>
      <c r="AE69" s="200">
        <v>55.333799999999989</v>
      </c>
      <c r="AF69" s="200">
        <v>209.31137999999993</v>
      </c>
      <c r="AG69" s="200">
        <v>757.03020524999988</v>
      </c>
      <c r="AH69" s="200">
        <v>1621.1580253499997</v>
      </c>
      <c r="AI69" s="200">
        <v>1838.6159576381244</v>
      </c>
      <c r="AJ69" s="200">
        <v>2627.6592109141757</v>
      </c>
      <c r="AK69" s="200">
        <v>3372.7432982465834</v>
      </c>
      <c r="AL69" s="200">
        <v>3788.6481569133803</v>
      </c>
      <c r="AM69" s="200">
        <v>4256.6013617828594</v>
      </c>
      <c r="AN69" s="200">
        <v>4783.1986428999808</v>
      </c>
      <c r="AP69" s="205">
        <v>0.11230607012047705</v>
      </c>
      <c r="AQ69" s="100"/>
      <c r="AS69" s="210"/>
      <c r="AT69" s="206"/>
      <c r="AU69" s="225"/>
      <c r="AV69" s="210"/>
      <c r="AW69" s="210"/>
      <c r="AX69" s="210"/>
    </row>
    <row r="70" spans="3:50" x14ac:dyDescent="0.15">
      <c r="D70" s="97" t="s">
        <v>160</v>
      </c>
      <c r="E70" s="191"/>
      <c r="F70" s="228"/>
      <c r="G70" s="229">
        <v>25.826662620000022</v>
      </c>
      <c r="H70" s="229">
        <v>32.870297880000003</v>
      </c>
      <c r="I70" s="229">
        <v>37.566054719999997</v>
      </c>
      <c r="J70" s="229">
        <v>37.566054719999997</v>
      </c>
      <c r="K70" s="229">
        <v>37.566054719999997</v>
      </c>
      <c r="L70" s="229">
        <v>37.566054719999997</v>
      </c>
      <c r="M70" s="229">
        <v>39.913933139999997</v>
      </c>
      <c r="N70" s="229">
        <v>37.566054719999997</v>
      </c>
      <c r="O70" s="229">
        <v>39.913933139999997</v>
      </c>
      <c r="P70" s="229">
        <v>46.9575684</v>
      </c>
      <c r="Q70" s="229">
        <v>46.9575684</v>
      </c>
      <c r="R70" s="229">
        <v>49.30544682</v>
      </c>
      <c r="S70" s="229">
        <v>90.468721662000064</v>
      </c>
      <c r="T70" s="229">
        <v>115.14200938800001</v>
      </c>
      <c r="U70" s="229">
        <v>131.59086787199999</v>
      </c>
      <c r="V70" s="229">
        <v>131.59086787199999</v>
      </c>
      <c r="W70" s="229">
        <v>131.59086787199999</v>
      </c>
      <c r="X70" s="229">
        <v>131.59086787199999</v>
      </c>
      <c r="Y70" s="229">
        <v>139.815297114</v>
      </c>
      <c r="Z70" s="229">
        <v>131.59086787199999</v>
      </c>
      <c r="AA70" s="229">
        <v>139.815297114</v>
      </c>
      <c r="AB70" s="229">
        <v>164.48858483999999</v>
      </c>
      <c r="AC70" s="229">
        <v>164.48858483999999</v>
      </c>
      <c r="AD70" s="229">
        <v>172.713014082</v>
      </c>
      <c r="AE70" s="229">
        <v>469.57568399999997</v>
      </c>
      <c r="AF70" s="229">
        <v>1644.8858483999998</v>
      </c>
      <c r="AG70" s="229">
        <v>6079.2765894449994</v>
      </c>
      <c r="AH70" s="229">
        <v>13320.388638062999</v>
      </c>
      <c r="AI70" s="229">
        <v>16062.875371506112</v>
      </c>
      <c r="AJ70" s="229">
        <v>23046.641285711808</v>
      </c>
      <c r="AK70" s="229">
        <v>29696.248087670265</v>
      </c>
      <c r="AL70" s="229">
        <v>33485.40308333042</v>
      </c>
      <c r="AM70" s="229">
        <v>37762.471093413362</v>
      </c>
      <c r="AN70" s="229">
        <v>42590.740088837352</v>
      </c>
      <c r="AP70" s="138">
        <v>0.65010726479363945</v>
      </c>
      <c r="AQ70" s="139" t="s">
        <v>101</v>
      </c>
      <c r="AS70" s="210"/>
      <c r="AT70" s="210"/>
      <c r="AU70" s="210"/>
      <c r="AV70" s="210"/>
      <c r="AW70" s="210"/>
      <c r="AX70" s="210"/>
    </row>
    <row r="71" spans="3:50" x14ac:dyDescent="0.15">
      <c r="E71" s="191"/>
      <c r="F71" s="192"/>
      <c r="G71" s="100"/>
      <c r="H71" s="100"/>
      <c r="I71" s="100"/>
      <c r="J71" s="100"/>
      <c r="K71" s="100"/>
      <c r="L71" s="100"/>
    </row>
    <row r="72" spans="3:50" x14ac:dyDescent="0.15">
      <c r="D72" s="99" t="s">
        <v>161</v>
      </c>
      <c r="E72" s="100"/>
      <c r="F72" s="23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231"/>
      <c r="U72" s="231"/>
      <c r="V72" s="231"/>
      <c r="W72" s="231"/>
      <c r="X72" s="231"/>
      <c r="Y72" s="231"/>
      <c r="Z72" s="231"/>
      <c r="AA72" s="231"/>
      <c r="AB72" s="231"/>
      <c r="AC72" s="231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P72" s="97"/>
    </row>
    <row r="73" spans="3:50" x14ac:dyDescent="0.15">
      <c r="C73" s="1" t="s">
        <v>162</v>
      </c>
      <c r="D73" s="195" t="s">
        <v>163</v>
      </c>
      <c r="E73" s="191"/>
      <c r="F73" s="232">
        <v>0.1</v>
      </c>
      <c r="G73" s="200"/>
      <c r="H73" s="200"/>
      <c r="I73" s="200"/>
      <c r="J73" s="200"/>
      <c r="K73" s="200"/>
      <c r="L73" s="200"/>
      <c r="M73" s="217"/>
      <c r="N73" s="217"/>
      <c r="O73" s="217"/>
      <c r="P73" s="217"/>
      <c r="R73" s="217">
        <v>1.2000000000000002</v>
      </c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>
        <v>1.2000000000000002</v>
      </c>
      <c r="AE73" s="217">
        <v>1.2000000000000002</v>
      </c>
      <c r="AF73" s="217">
        <v>1.2000000000000002</v>
      </c>
      <c r="AG73" s="233">
        <v>0</v>
      </c>
      <c r="AH73" s="217">
        <v>0</v>
      </c>
      <c r="AI73" s="217">
        <v>0</v>
      </c>
      <c r="AJ73" s="217">
        <v>0</v>
      </c>
      <c r="AK73" s="217">
        <v>0</v>
      </c>
      <c r="AL73" s="217">
        <v>0</v>
      </c>
      <c r="AM73" s="217">
        <v>0</v>
      </c>
      <c r="AN73" s="217">
        <v>0</v>
      </c>
      <c r="AP73" s="234"/>
      <c r="AQ73" s="113"/>
      <c r="AS73" s="210"/>
      <c r="AU73" s="225"/>
      <c r="AV73" s="210"/>
      <c r="AW73" s="210"/>
      <c r="AX73" s="210"/>
    </row>
    <row r="74" spans="3:50" x14ac:dyDescent="0.15">
      <c r="C74" s="1" t="s">
        <v>164</v>
      </c>
      <c r="D74" s="195" t="s">
        <v>165</v>
      </c>
      <c r="E74" s="191"/>
      <c r="F74" s="235">
        <v>2.75E-2</v>
      </c>
      <c r="G74" s="200"/>
      <c r="H74" s="200"/>
      <c r="I74" s="200"/>
      <c r="J74" s="200"/>
      <c r="K74" s="200"/>
      <c r="L74" s="200"/>
      <c r="M74" s="217"/>
      <c r="N74" s="217"/>
      <c r="O74" s="217"/>
      <c r="P74" s="217"/>
      <c r="R74" s="217">
        <v>17.959589999999999</v>
      </c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>
        <v>61.661258999999994</v>
      </c>
      <c r="AE74" s="217">
        <v>17.959589999999999</v>
      </c>
      <c r="AF74" s="217">
        <v>61.661258999999994</v>
      </c>
      <c r="AG74" s="217">
        <v>238.16661288749995</v>
      </c>
      <c r="AH74" s="217">
        <v>545.13691394249997</v>
      </c>
      <c r="AI74" s="217">
        <v>701.86377670096863</v>
      </c>
      <c r="AJ74" s="217">
        <v>1012.0875660027967</v>
      </c>
      <c r="AK74" s="217">
        <v>1310.5088140356213</v>
      </c>
      <c r="AL74" s="217">
        <v>1484.8064863023594</v>
      </c>
      <c r="AM74" s="217">
        <v>1682.2857489805731</v>
      </c>
      <c r="AN74" s="217">
        <v>1906.0297535949896</v>
      </c>
      <c r="AP74" s="234"/>
      <c r="AQ74" s="113"/>
      <c r="AS74" s="210"/>
      <c r="AT74" s="181"/>
      <c r="AU74" s="225"/>
      <c r="AV74" s="210"/>
      <c r="AW74" s="210"/>
      <c r="AX74" s="210"/>
    </row>
    <row r="75" spans="3:50" x14ac:dyDescent="0.15">
      <c r="C75" s="56" t="s">
        <v>166</v>
      </c>
      <c r="D75" s="195" t="s">
        <v>167</v>
      </c>
      <c r="E75" s="191"/>
      <c r="F75" s="236">
        <v>2.0000000000000001E-4</v>
      </c>
      <c r="G75" s="200"/>
      <c r="H75" s="200"/>
      <c r="I75" s="200"/>
      <c r="J75" s="200"/>
      <c r="K75" s="200"/>
      <c r="L75" s="200"/>
      <c r="M75" s="217"/>
      <c r="N75" s="217"/>
      <c r="O75" s="217"/>
      <c r="P75" s="217"/>
      <c r="R75" s="217">
        <v>0.72000000000000008</v>
      </c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>
        <v>2.4</v>
      </c>
      <c r="AE75" s="217">
        <v>0.72000000000000008</v>
      </c>
      <c r="AF75" s="217">
        <v>2.4</v>
      </c>
      <c r="AG75" s="217">
        <v>9</v>
      </c>
      <c r="AH75" s="217">
        <v>20</v>
      </c>
      <c r="AI75" s="217">
        <v>25</v>
      </c>
      <c r="AJ75" s="217">
        <v>35</v>
      </c>
      <c r="AK75" s="217">
        <v>44</v>
      </c>
      <c r="AL75" s="217">
        <v>48.400000000000006</v>
      </c>
      <c r="AM75" s="217">
        <v>53.240000000000016</v>
      </c>
      <c r="AN75" s="217">
        <v>58.564000000000028</v>
      </c>
      <c r="AP75" s="234"/>
      <c r="AQ75" s="113"/>
      <c r="AR75" s="100"/>
      <c r="AS75" s="210"/>
      <c r="AT75" s="210"/>
      <c r="AU75" s="225"/>
      <c r="AV75" s="210"/>
      <c r="AW75" s="210"/>
      <c r="AX75" s="210"/>
    </row>
    <row r="76" spans="3:50" x14ac:dyDescent="0.15">
      <c r="C76" s="1" t="s">
        <v>168</v>
      </c>
      <c r="D76" s="114" t="s">
        <v>169</v>
      </c>
      <c r="E76" s="154" t="s">
        <v>104</v>
      </c>
      <c r="F76" s="155">
        <v>0.03</v>
      </c>
      <c r="G76" s="237">
        <v>5</v>
      </c>
      <c r="H76" s="237">
        <v>5</v>
      </c>
      <c r="I76" s="237">
        <v>5</v>
      </c>
      <c r="J76" s="237">
        <v>5</v>
      </c>
      <c r="K76" s="237">
        <v>5</v>
      </c>
      <c r="L76" s="237">
        <v>5</v>
      </c>
      <c r="M76" s="237">
        <v>5</v>
      </c>
      <c r="N76" s="237">
        <v>5</v>
      </c>
      <c r="O76" s="237">
        <v>5</v>
      </c>
      <c r="P76" s="237">
        <v>5</v>
      </c>
      <c r="Q76" s="237">
        <v>5</v>
      </c>
      <c r="R76" s="237">
        <v>5</v>
      </c>
      <c r="S76" s="237">
        <v>5.15</v>
      </c>
      <c r="T76" s="237">
        <v>5.15</v>
      </c>
      <c r="U76" s="237">
        <v>5.15</v>
      </c>
      <c r="V76" s="237">
        <v>5.15</v>
      </c>
      <c r="W76" s="237">
        <v>5.15</v>
      </c>
      <c r="X76" s="237">
        <v>5.15</v>
      </c>
      <c r="Y76" s="237">
        <v>5.15</v>
      </c>
      <c r="Z76" s="237">
        <v>5.15</v>
      </c>
      <c r="AA76" s="237">
        <v>5.15</v>
      </c>
      <c r="AB76" s="237">
        <v>5.15</v>
      </c>
      <c r="AC76" s="237">
        <v>5.15</v>
      </c>
      <c r="AD76" s="237">
        <v>5.15</v>
      </c>
      <c r="AE76" s="237">
        <v>60</v>
      </c>
      <c r="AF76" s="237">
        <v>61.800000000000004</v>
      </c>
      <c r="AG76" s="237">
        <v>63.654000000000003</v>
      </c>
      <c r="AH76" s="100"/>
      <c r="AI76" s="100"/>
      <c r="AJ76" s="100"/>
      <c r="AK76" s="100"/>
      <c r="AL76" s="100"/>
      <c r="AM76" s="100"/>
      <c r="AN76" s="100"/>
      <c r="AP76" s="97"/>
    </row>
    <row r="77" spans="3:50" x14ac:dyDescent="0.15">
      <c r="C77" s="7" t="s">
        <v>170</v>
      </c>
      <c r="D77" s="114" t="s">
        <v>171</v>
      </c>
      <c r="E77" s="154" t="s">
        <v>104</v>
      </c>
      <c r="F77" s="238">
        <v>2.6415999231107197</v>
      </c>
      <c r="G77" s="237">
        <v>7.916666666666667</v>
      </c>
      <c r="H77" s="237">
        <v>7.916666666666667</v>
      </c>
      <c r="I77" s="237">
        <v>7.916666666666667</v>
      </c>
      <c r="J77" s="237">
        <v>7.916666666666667</v>
      </c>
      <c r="K77" s="237">
        <v>7.916666666666667</v>
      </c>
      <c r="L77" s="237">
        <v>7.916666666666667</v>
      </c>
      <c r="M77" s="237">
        <v>7.916666666666667</v>
      </c>
      <c r="N77" s="237">
        <v>7.916666666666667</v>
      </c>
      <c r="O77" s="237">
        <v>7.916666666666667</v>
      </c>
      <c r="P77" s="237">
        <v>7.916666666666667</v>
      </c>
      <c r="Q77" s="237">
        <v>7.916666666666667</v>
      </c>
      <c r="R77" s="237">
        <v>7.916666666666667</v>
      </c>
      <c r="S77" s="237">
        <v>14.414666362313264</v>
      </c>
      <c r="T77" s="237">
        <v>14.414666362313264</v>
      </c>
      <c r="U77" s="237">
        <v>14.414666362313264</v>
      </c>
      <c r="V77" s="237">
        <v>14.414666362313264</v>
      </c>
      <c r="W77" s="237">
        <v>14.414666362313264</v>
      </c>
      <c r="X77" s="237">
        <v>14.414666362313264</v>
      </c>
      <c r="Y77" s="237">
        <v>14.414666362313264</v>
      </c>
      <c r="Z77" s="237">
        <v>14.414666362313264</v>
      </c>
      <c r="AA77" s="237">
        <v>14.414666362313264</v>
      </c>
      <c r="AB77" s="237">
        <v>14.414666362313264</v>
      </c>
      <c r="AC77" s="237">
        <v>14.414666362313264</v>
      </c>
      <c r="AD77" s="237">
        <v>14.414666362313264</v>
      </c>
      <c r="AE77" s="237">
        <v>95</v>
      </c>
      <c r="AF77" s="237">
        <v>172.97599634775918</v>
      </c>
      <c r="AG77" s="237">
        <v>629.90937499999995</v>
      </c>
      <c r="AH77" s="100"/>
      <c r="AI77" s="100"/>
      <c r="AJ77" s="100"/>
      <c r="AK77" s="100"/>
      <c r="AL77" s="100"/>
      <c r="AM77" s="100"/>
      <c r="AN77" s="100"/>
      <c r="AQ77" s="18"/>
      <c r="AR77" s="18"/>
    </row>
    <row r="78" spans="3:50" x14ac:dyDescent="0.15">
      <c r="C78" s="7" t="s">
        <v>172</v>
      </c>
      <c r="D78" s="105" t="s">
        <v>173</v>
      </c>
      <c r="E78" s="100"/>
      <c r="F78" s="207"/>
      <c r="G78" s="237">
        <v>0.105</v>
      </c>
      <c r="H78" s="237">
        <v>0.105</v>
      </c>
      <c r="I78" s="237">
        <v>0.105</v>
      </c>
      <c r="J78" s="237">
        <v>0.105</v>
      </c>
      <c r="K78" s="237">
        <v>0.105</v>
      </c>
      <c r="L78" s="237">
        <v>0.105</v>
      </c>
      <c r="M78" s="237">
        <v>0.105</v>
      </c>
      <c r="N78" s="237">
        <v>0.105</v>
      </c>
      <c r="O78" s="237">
        <v>0.105</v>
      </c>
      <c r="P78" s="237">
        <v>0.105</v>
      </c>
      <c r="Q78" s="237">
        <v>0.105</v>
      </c>
      <c r="R78" s="237">
        <v>0.105</v>
      </c>
      <c r="S78" s="237">
        <v>0.35000000000000003</v>
      </c>
      <c r="T78" s="237">
        <v>0.35000000000000003</v>
      </c>
      <c r="U78" s="237">
        <v>0.35000000000000003</v>
      </c>
      <c r="V78" s="237">
        <v>0.35000000000000003</v>
      </c>
      <c r="W78" s="237">
        <v>0.35000000000000003</v>
      </c>
      <c r="X78" s="237">
        <v>0.35000000000000003</v>
      </c>
      <c r="Y78" s="237">
        <v>0.35000000000000003</v>
      </c>
      <c r="Z78" s="237">
        <v>0.35000000000000003</v>
      </c>
      <c r="AA78" s="237">
        <v>0.35000000000000003</v>
      </c>
      <c r="AB78" s="237">
        <v>0.35000000000000003</v>
      </c>
      <c r="AC78" s="237">
        <v>0.35000000000000003</v>
      </c>
      <c r="AD78" s="237">
        <v>0.35000000000000003</v>
      </c>
      <c r="AE78" s="237">
        <v>1.26</v>
      </c>
      <c r="AF78" s="237">
        <v>4.2</v>
      </c>
      <c r="AG78" s="237">
        <v>15.75</v>
      </c>
      <c r="AH78" s="100"/>
      <c r="AI78" s="100"/>
      <c r="AJ78" s="100"/>
      <c r="AK78" s="100"/>
      <c r="AL78" s="100"/>
      <c r="AM78" s="100"/>
      <c r="AN78" s="100"/>
    </row>
    <row r="79" spans="3:50" x14ac:dyDescent="0.15">
      <c r="D79" s="227" t="s">
        <v>174</v>
      </c>
      <c r="E79" s="100"/>
      <c r="F79" s="123">
        <v>0.1</v>
      </c>
      <c r="G79" s="100"/>
      <c r="H79" s="100"/>
      <c r="I79" s="100"/>
      <c r="J79" s="100"/>
      <c r="K79" s="100"/>
      <c r="L79" s="100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100"/>
      <c r="AF79" s="100"/>
      <c r="AG79" s="237"/>
      <c r="AH79" s="100"/>
      <c r="AI79" s="100"/>
      <c r="AJ79" s="100"/>
      <c r="AK79" s="100"/>
      <c r="AL79" s="100"/>
      <c r="AM79" s="100"/>
      <c r="AN79" s="100"/>
      <c r="AQ79" s="100"/>
      <c r="AR79" s="100"/>
    </row>
    <row r="80" spans="3:50" x14ac:dyDescent="0.15">
      <c r="D80" s="227" t="s">
        <v>175</v>
      </c>
      <c r="E80" s="100"/>
      <c r="F80" s="239">
        <v>5</v>
      </c>
      <c r="G80" s="100"/>
      <c r="H80" s="100"/>
      <c r="I80" s="100"/>
      <c r="J80" s="100"/>
      <c r="K80" s="100"/>
      <c r="L80" s="100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  <c r="AD80" s="237"/>
      <c r="AE80" s="100"/>
      <c r="AF80" s="100"/>
      <c r="AG80" s="237"/>
      <c r="AH80" s="100"/>
      <c r="AI80" s="100"/>
      <c r="AJ80" s="100"/>
      <c r="AK80" s="100"/>
      <c r="AL80" s="100"/>
      <c r="AM80" s="100"/>
      <c r="AN80" s="100"/>
      <c r="AP80" s="100"/>
      <c r="AQ80" s="100"/>
      <c r="AR80" s="100"/>
    </row>
    <row r="81" spans="1:47" x14ac:dyDescent="0.15">
      <c r="D81" s="227" t="s">
        <v>176</v>
      </c>
      <c r="E81" s="100"/>
      <c r="F81" s="240">
        <v>6.9999999999999999E-4</v>
      </c>
      <c r="G81" s="100"/>
      <c r="H81" s="100"/>
      <c r="I81" s="100"/>
      <c r="J81" s="100"/>
      <c r="K81" s="100"/>
      <c r="L81" s="100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W81" s="237"/>
      <c r="X81" s="237"/>
      <c r="Y81" s="237"/>
      <c r="Z81" s="237"/>
      <c r="AA81" s="237"/>
      <c r="AB81" s="237"/>
      <c r="AC81" s="237"/>
      <c r="AD81" s="237"/>
      <c r="AE81" s="100"/>
      <c r="AF81" s="100"/>
      <c r="AG81" s="237"/>
      <c r="AH81" s="100"/>
      <c r="AI81" s="100"/>
      <c r="AJ81" s="100"/>
      <c r="AK81" s="100"/>
      <c r="AL81" s="100"/>
      <c r="AM81" s="100"/>
      <c r="AN81" s="100"/>
      <c r="AP81" s="100"/>
      <c r="AQ81" s="100"/>
      <c r="AR81" s="100"/>
    </row>
    <row r="82" spans="1:47" x14ac:dyDescent="0.15">
      <c r="C82" s="1" t="s">
        <v>168</v>
      </c>
      <c r="D82" s="114" t="s">
        <v>177</v>
      </c>
      <c r="E82" s="154" t="s">
        <v>104</v>
      </c>
      <c r="F82" s="155">
        <v>0.03</v>
      </c>
      <c r="G82" s="237">
        <v>7.083333333333333</v>
      </c>
      <c r="H82" s="237">
        <v>7.083333333333333</v>
      </c>
      <c r="I82" s="237">
        <v>7.083333333333333</v>
      </c>
      <c r="J82" s="237">
        <v>7.083333333333333</v>
      </c>
      <c r="K82" s="237">
        <v>7.083333333333333</v>
      </c>
      <c r="L82" s="237">
        <v>7.083333333333333</v>
      </c>
      <c r="M82" s="237">
        <v>7.083333333333333</v>
      </c>
      <c r="N82" s="237">
        <v>7.083333333333333</v>
      </c>
      <c r="O82" s="237">
        <v>7.083333333333333</v>
      </c>
      <c r="P82" s="237">
        <v>7.083333333333333</v>
      </c>
      <c r="Q82" s="237">
        <v>7.083333333333333</v>
      </c>
      <c r="R82" s="237">
        <v>7.083333333333333</v>
      </c>
      <c r="S82" s="237">
        <v>7.2958333333333334</v>
      </c>
      <c r="T82" s="237">
        <v>7.2958333333333334</v>
      </c>
      <c r="U82" s="237">
        <v>7.2958333333333334</v>
      </c>
      <c r="V82" s="237">
        <v>7.2958333333333334</v>
      </c>
      <c r="W82" s="237">
        <v>7.2958333333333334</v>
      </c>
      <c r="X82" s="237">
        <v>7.2958333333333334</v>
      </c>
      <c r="Y82" s="237">
        <v>7.2958333333333334</v>
      </c>
      <c r="Z82" s="237">
        <v>7.2958333333333334</v>
      </c>
      <c r="AA82" s="237">
        <v>7.2958333333333334</v>
      </c>
      <c r="AB82" s="237">
        <v>7.2958333333333334</v>
      </c>
      <c r="AC82" s="237">
        <v>7.2958333333333334</v>
      </c>
      <c r="AD82" s="237">
        <v>7.2958333333333334</v>
      </c>
      <c r="AE82" s="237">
        <v>85</v>
      </c>
      <c r="AF82" s="237">
        <v>87.55</v>
      </c>
      <c r="AG82" s="237">
        <v>90.176500000000004</v>
      </c>
      <c r="AH82" s="100"/>
      <c r="AI82" s="100"/>
      <c r="AJ82" s="100"/>
      <c r="AK82" s="100"/>
      <c r="AL82" s="100"/>
      <c r="AM82" s="100"/>
      <c r="AN82" s="100"/>
    </row>
    <row r="83" spans="1:47" x14ac:dyDescent="0.15">
      <c r="C83" s="1" t="s">
        <v>168</v>
      </c>
      <c r="D83" s="114" t="s">
        <v>178</v>
      </c>
      <c r="E83" s="154" t="s">
        <v>104</v>
      </c>
      <c r="F83" s="155">
        <v>0.03</v>
      </c>
      <c r="G83" s="237">
        <v>0</v>
      </c>
      <c r="H83" s="237">
        <v>0</v>
      </c>
      <c r="I83" s="237">
        <v>0</v>
      </c>
      <c r="J83" s="237">
        <v>0</v>
      </c>
      <c r="K83" s="237">
        <v>0</v>
      </c>
      <c r="L83" s="237">
        <v>0</v>
      </c>
      <c r="M83" s="237">
        <v>0</v>
      </c>
      <c r="N83" s="237">
        <v>0</v>
      </c>
      <c r="O83" s="237">
        <v>0</v>
      </c>
      <c r="P83" s="237">
        <v>0</v>
      </c>
      <c r="Q83" s="237">
        <v>0</v>
      </c>
      <c r="R83" s="237">
        <v>0</v>
      </c>
      <c r="S83" s="237">
        <v>0</v>
      </c>
      <c r="T83" s="237">
        <v>0</v>
      </c>
      <c r="U83" s="237">
        <v>0</v>
      </c>
      <c r="V83" s="237">
        <v>0</v>
      </c>
      <c r="W83" s="237">
        <v>0</v>
      </c>
      <c r="X83" s="237">
        <v>0</v>
      </c>
      <c r="Y83" s="237">
        <v>0</v>
      </c>
      <c r="Z83" s="237">
        <v>0</v>
      </c>
      <c r="AA83" s="237">
        <v>0</v>
      </c>
      <c r="AB83" s="237">
        <v>0</v>
      </c>
      <c r="AC83" s="237">
        <v>0</v>
      </c>
      <c r="AD83" s="237">
        <v>0</v>
      </c>
      <c r="AE83" s="241">
        <v>0</v>
      </c>
      <c r="AF83" s="237">
        <v>0</v>
      </c>
      <c r="AG83" s="237">
        <v>0</v>
      </c>
      <c r="AH83" s="100"/>
      <c r="AI83" s="100"/>
      <c r="AJ83" s="100"/>
      <c r="AK83" s="100"/>
      <c r="AL83" s="100"/>
      <c r="AM83" s="100"/>
      <c r="AN83" s="100"/>
    </row>
    <row r="84" spans="1:47" x14ac:dyDescent="0.15">
      <c r="C84" s="7" t="s">
        <v>179</v>
      </c>
      <c r="D84" s="100" t="s">
        <v>180</v>
      </c>
      <c r="E84" s="242"/>
      <c r="F84" s="243">
        <v>0.13</v>
      </c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4"/>
      <c r="AE84" s="246"/>
      <c r="AF84" s="246"/>
      <c r="AG84" s="246"/>
      <c r="AH84" s="247">
        <v>2577.0108659100001</v>
      </c>
      <c r="AI84" s="247">
        <v>3317.9014898591245</v>
      </c>
      <c r="AJ84" s="247">
        <v>4784.4139483768577</v>
      </c>
      <c r="AK84" s="247">
        <v>6195.1325754411191</v>
      </c>
      <c r="AL84" s="247">
        <v>7019.0852079747901</v>
      </c>
      <c r="AM84" s="247">
        <v>7952.6235406354363</v>
      </c>
      <c r="AN84" s="247">
        <v>9010.3224715399519</v>
      </c>
      <c r="AP84" s="18"/>
      <c r="AQ84" s="18"/>
    </row>
    <row r="85" spans="1:47" s="100" customFormat="1" x14ac:dyDescent="0.15">
      <c r="A85" s="202"/>
      <c r="B85" s="202"/>
      <c r="C85" s="202"/>
      <c r="D85" s="99" t="s">
        <v>181</v>
      </c>
      <c r="F85" s="230"/>
      <c r="G85" s="248">
        <v>20.105</v>
      </c>
      <c r="H85" s="248">
        <v>20.105</v>
      </c>
      <c r="I85" s="248">
        <v>20.105</v>
      </c>
      <c r="J85" s="248">
        <v>20.105</v>
      </c>
      <c r="K85" s="248">
        <v>20.105</v>
      </c>
      <c r="L85" s="248">
        <v>20.105</v>
      </c>
      <c r="M85" s="248">
        <v>20.105</v>
      </c>
      <c r="N85" s="248">
        <v>20.105</v>
      </c>
      <c r="O85" s="248">
        <v>20.105</v>
      </c>
      <c r="P85" s="248">
        <v>20.105</v>
      </c>
      <c r="Q85" s="248">
        <v>20.105</v>
      </c>
      <c r="R85" s="248">
        <v>39.984589999999997</v>
      </c>
      <c r="S85" s="248">
        <v>27.2104996956466</v>
      </c>
      <c r="T85" s="248">
        <v>27.2104996956466</v>
      </c>
      <c r="U85" s="248">
        <v>27.2104996956466</v>
      </c>
      <c r="V85" s="248">
        <v>27.2104996956466</v>
      </c>
      <c r="W85" s="248">
        <v>27.2104996956466</v>
      </c>
      <c r="X85" s="248">
        <v>27.2104996956466</v>
      </c>
      <c r="Y85" s="248">
        <v>27.2104996956466</v>
      </c>
      <c r="Z85" s="248">
        <v>27.2104996956466</v>
      </c>
      <c r="AA85" s="248">
        <v>27.2104996956466</v>
      </c>
      <c r="AB85" s="248">
        <v>27.2104996956466</v>
      </c>
      <c r="AC85" s="248">
        <v>27.2104996956466</v>
      </c>
      <c r="AD85" s="248">
        <v>92.471758695646599</v>
      </c>
      <c r="AE85" s="248">
        <v>261.13959</v>
      </c>
      <c r="AF85" s="248">
        <v>391.78725534775919</v>
      </c>
      <c r="AG85" s="248">
        <v>1046.6564878874999</v>
      </c>
      <c r="AH85" s="248">
        <v>3142.1477798525002</v>
      </c>
      <c r="AI85" s="248">
        <v>4044.7652665600931</v>
      </c>
      <c r="AJ85" s="248">
        <v>5831.5015143796545</v>
      </c>
      <c r="AK85" s="248">
        <v>7549.6413894767402</v>
      </c>
      <c r="AL85" s="248">
        <v>8552.2916942771499</v>
      </c>
      <c r="AM85" s="248">
        <v>9688.1492896160089</v>
      </c>
      <c r="AN85" s="248">
        <v>10974.916225134941</v>
      </c>
    </row>
    <row r="86" spans="1:47" s="100" customFormat="1" x14ac:dyDescent="0.15">
      <c r="A86" s="202"/>
      <c r="B86" s="202"/>
      <c r="C86" s="202"/>
      <c r="D86" s="99"/>
      <c r="F86" s="230"/>
      <c r="G86" s="249"/>
      <c r="H86" s="249"/>
      <c r="I86" s="249"/>
      <c r="J86" s="249"/>
      <c r="K86" s="249"/>
      <c r="L86" s="249"/>
      <c r="M86" s="249"/>
      <c r="N86" s="249"/>
      <c r="O86" s="249"/>
      <c r="P86" s="249"/>
      <c r="Q86" s="249"/>
      <c r="R86" s="249"/>
      <c r="S86" s="249"/>
      <c r="T86" s="250"/>
      <c r="U86" s="250"/>
      <c r="V86" s="250"/>
      <c r="W86" s="250"/>
      <c r="X86" s="250"/>
      <c r="Y86" s="250"/>
      <c r="Z86" s="250"/>
      <c r="AA86" s="250"/>
      <c r="AB86" s="250"/>
      <c r="AC86" s="250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</row>
    <row r="87" spans="1:47" x14ac:dyDescent="0.15">
      <c r="A87" s="39"/>
      <c r="B87" s="39"/>
      <c r="D87" s="99" t="s">
        <v>182</v>
      </c>
      <c r="E87" s="242"/>
      <c r="F87" s="251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  <c r="R87" s="252"/>
      <c r="S87" s="252"/>
      <c r="T87" s="252"/>
      <c r="U87" s="252"/>
      <c r="V87" s="252"/>
      <c r="W87" s="252"/>
      <c r="X87" s="252"/>
      <c r="Y87" s="252"/>
      <c r="Z87" s="252"/>
      <c r="AA87" s="252"/>
      <c r="AB87" s="252"/>
      <c r="AC87" s="252"/>
      <c r="AD87" s="252"/>
      <c r="AE87" s="252"/>
      <c r="AF87" s="253"/>
      <c r="AG87" s="253"/>
      <c r="AH87" s="252"/>
      <c r="AI87" s="254" t="s">
        <v>183</v>
      </c>
      <c r="AJ87" s="253"/>
      <c r="AK87" s="253"/>
      <c r="AL87" s="253"/>
      <c r="AM87" s="253"/>
      <c r="AN87" s="253"/>
      <c r="AO87" s="100"/>
      <c r="AP87" s="255"/>
      <c r="AQ87" s="100"/>
      <c r="AR87" s="100"/>
    </row>
    <row r="88" spans="1:47" hidden="1" x14ac:dyDescent="0.15">
      <c r="A88" s="39"/>
      <c r="B88" s="39"/>
      <c r="C88" s="7" t="s">
        <v>170</v>
      </c>
      <c r="D88" s="255" t="s">
        <v>184</v>
      </c>
      <c r="E88" s="154" t="s">
        <v>104</v>
      </c>
      <c r="F88" s="238">
        <v>2.6415999231107197</v>
      </c>
      <c r="G88" s="256"/>
      <c r="H88" s="256"/>
      <c r="I88" s="256"/>
      <c r="J88" s="256"/>
      <c r="K88" s="256"/>
      <c r="L88" s="256"/>
      <c r="M88" s="142"/>
      <c r="N88" s="142"/>
      <c r="O88" s="142"/>
      <c r="P88" s="142"/>
      <c r="Q88" s="142"/>
      <c r="R88" s="142"/>
      <c r="S88" s="142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42"/>
      <c r="AE88" s="142"/>
      <c r="AF88" s="142"/>
      <c r="AG88" s="142"/>
      <c r="AH88" s="100"/>
      <c r="AI88" s="99"/>
      <c r="AJ88" s="257"/>
      <c r="AK88" s="257"/>
      <c r="AL88" s="257"/>
      <c r="AM88" s="257"/>
      <c r="AN88" s="257"/>
      <c r="AO88" s="100"/>
      <c r="AP88" s="100"/>
      <c r="AQ88" s="100"/>
      <c r="AR88" s="100"/>
    </row>
    <row r="89" spans="1:47" x14ac:dyDescent="0.15">
      <c r="A89" s="39"/>
      <c r="B89" s="39"/>
      <c r="C89" s="7" t="s">
        <v>179</v>
      </c>
      <c r="D89" s="255" t="s">
        <v>185</v>
      </c>
      <c r="E89" s="242"/>
      <c r="F89" s="207"/>
      <c r="G89" s="258">
        <v>14.941666666666668</v>
      </c>
      <c r="H89" s="258">
        <v>14.941666666666668</v>
      </c>
      <c r="I89" s="258">
        <v>14.941666666666668</v>
      </c>
      <c r="J89" s="258">
        <v>14.941666666666668</v>
      </c>
      <c r="K89" s="258">
        <v>14.941666666666668</v>
      </c>
      <c r="L89" s="258">
        <v>14.941666666666668</v>
      </c>
      <c r="M89" s="258">
        <v>14.941666666666668</v>
      </c>
      <c r="N89" s="258">
        <v>14.941666666666668</v>
      </c>
      <c r="O89" s="258">
        <v>14.941666666666668</v>
      </c>
      <c r="P89" s="258">
        <v>14.941666666666668</v>
      </c>
      <c r="Q89" s="258">
        <v>14.941666666666668</v>
      </c>
      <c r="R89" s="258">
        <v>14.941666666666668</v>
      </c>
      <c r="S89" s="258">
        <v>36.358055555555559</v>
      </c>
      <c r="T89" s="258">
        <v>36.358055555555559</v>
      </c>
      <c r="U89" s="258">
        <v>36.358055555555559</v>
      </c>
      <c r="V89" s="258">
        <v>36.358055555555559</v>
      </c>
      <c r="W89" s="258">
        <v>36.358055555555559</v>
      </c>
      <c r="X89" s="258">
        <v>36.358055555555559</v>
      </c>
      <c r="Y89" s="258">
        <v>36.358055555555559</v>
      </c>
      <c r="Z89" s="258">
        <v>36.358055555555559</v>
      </c>
      <c r="AA89" s="258">
        <v>36.358055555555559</v>
      </c>
      <c r="AB89" s="258">
        <v>36.358055555555559</v>
      </c>
      <c r="AC89" s="258">
        <v>36.358055555555559</v>
      </c>
      <c r="AD89" s="258">
        <v>36.358055555555559</v>
      </c>
      <c r="AE89" s="259">
        <v>179.3</v>
      </c>
      <c r="AF89" s="259">
        <v>436.29666666666674</v>
      </c>
      <c r="AG89" s="259">
        <v>872.59333333333348</v>
      </c>
      <c r="AH89" s="260"/>
      <c r="AI89" s="260"/>
      <c r="AJ89" s="260"/>
      <c r="AK89" s="260"/>
      <c r="AL89" s="260"/>
      <c r="AM89" s="260"/>
      <c r="AN89" s="260"/>
      <c r="AO89" s="100"/>
      <c r="AQ89" s="100"/>
      <c r="AR89" s="100"/>
      <c r="AS89" s="18"/>
      <c r="AT89" s="261"/>
      <c r="AU89" s="18"/>
    </row>
    <row r="90" spans="1:47" x14ac:dyDescent="0.15">
      <c r="A90" s="39"/>
      <c r="B90" s="39"/>
      <c r="C90" s="7" t="s">
        <v>186</v>
      </c>
      <c r="D90" s="109" t="s">
        <v>187</v>
      </c>
      <c r="E90" s="100"/>
      <c r="F90" s="262">
        <v>6.1982007857241381E-2</v>
      </c>
      <c r="G90" s="263"/>
      <c r="H90" s="263"/>
      <c r="I90" s="263"/>
      <c r="J90" s="263"/>
      <c r="K90" s="263"/>
      <c r="L90" s="263"/>
      <c r="M90" s="263"/>
      <c r="N90" s="263"/>
      <c r="O90" s="263"/>
      <c r="P90" s="263"/>
      <c r="Q90" s="263"/>
      <c r="R90" s="263"/>
      <c r="S90" s="263"/>
      <c r="T90" s="264"/>
      <c r="U90" s="264"/>
      <c r="V90" s="264"/>
      <c r="W90" s="264"/>
      <c r="X90" s="264"/>
      <c r="Y90" s="264"/>
      <c r="Z90" s="264"/>
      <c r="AA90" s="264"/>
      <c r="AB90" s="264"/>
      <c r="AC90" s="264"/>
      <c r="AD90" s="263"/>
      <c r="AE90" s="263"/>
      <c r="AF90" s="263"/>
      <c r="AG90" s="263"/>
      <c r="AH90" s="265">
        <v>1228.6792903002311</v>
      </c>
      <c r="AI90" s="265">
        <v>1581.9245862615471</v>
      </c>
      <c r="AJ90" s="265">
        <v>2281.1352533891509</v>
      </c>
      <c r="AK90" s="265">
        <v>2953.7442766741806</v>
      </c>
      <c r="AL90" s="265">
        <v>3346.5922654718474</v>
      </c>
      <c r="AM90" s="265">
        <v>3791.6890367796032</v>
      </c>
      <c r="AN90" s="265">
        <v>4295.9836786712913</v>
      </c>
      <c r="AO90" s="100"/>
      <c r="AQ90" s="100"/>
      <c r="AR90" s="100"/>
      <c r="AS90" s="100"/>
      <c r="AT90" s="255"/>
    </row>
    <row r="91" spans="1:47" x14ac:dyDescent="0.15">
      <c r="A91" s="39"/>
      <c r="B91" s="39"/>
      <c r="D91" s="99" t="s">
        <v>188</v>
      </c>
      <c r="E91" s="242"/>
      <c r="F91" s="266"/>
      <c r="G91" s="249">
        <v>14.941666666666668</v>
      </c>
      <c r="H91" s="249">
        <v>14.941666666666668</v>
      </c>
      <c r="I91" s="249">
        <v>14.941666666666668</v>
      </c>
      <c r="J91" s="249">
        <v>14.941666666666668</v>
      </c>
      <c r="K91" s="249">
        <v>14.941666666666668</v>
      </c>
      <c r="L91" s="249">
        <v>14.941666666666668</v>
      </c>
      <c r="M91" s="249">
        <v>14.941666666666668</v>
      </c>
      <c r="N91" s="249">
        <v>14.941666666666668</v>
      </c>
      <c r="O91" s="249">
        <v>14.941666666666668</v>
      </c>
      <c r="P91" s="249">
        <v>14.941666666666668</v>
      </c>
      <c r="Q91" s="249">
        <v>14.941666666666668</v>
      </c>
      <c r="R91" s="249">
        <v>14.941666666666668</v>
      </c>
      <c r="S91" s="249">
        <v>36.358055555555559</v>
      </c>
      <c r="T91" s="249">
        <v>36.358055555555559</v>
      </c>
      <c r="U91" s="249">
        <v>36.358055555555559</v>
      </c>
      <c r="V91" s="249">
        <v>36.358055555555559</v>
      </c>
      <c r="W91" s="249">
        <v>36.358055555555559</v>
      </c>
      <c r="X91" s="249">
        <v>36.358055555555559</v>
      </c>
      <c r="Y91" s="249">
        <v>36.358055555555559</v>
      </c>
      <c r="Z91" s="249">
        <v>36.358055555555559</v>
      </c>
      <c r="AA91" s="249">
        <v>36.358055555555559</v>
      </c>
      <c r="AB91" s="249">
        <v>36.358055555555559</v>
      </c>
      <c r="AC91" s="249">
        <v>36.358055555555559</v>
      </c>
      <c r="AD91" s="249">
        <v>36.358055555555559</v>
      </c>
      <c r="AE91" s="249">
        <v>179.3</v>
      </c>
      <c r="AF91" s="249">
        <v>436.29666666666674</v>
      </c>
      <c r="AG91" s="249">
        <v>872.59333333333348</v>
      </c>
      <c r="AH91" s="249">
        <v>1228.6792903002311</v>
      </c>
      <c r="AI91" s="249">
        <v>1581.9245862615471</v>
      </c>
      <c r="AJ91" s="249">
        <v>2281.1352533891509</v>
      </c>
      <c r="AK91" s="249">
        <v>2953.7442766741806</v>
      </c>
      <c r="AL91" s="249">
        <v>3346.5922654718474</v>
      </c>
      <c r="AM91" s="249">
        <v>3791.6890367796032</v>
      </c>
      <c r="AN91" s="249">
        <v>4295.9836786712913</v>
      </c>
      <c r="AO91" s="100"/>
      <c r="AP91" s="255"/>
      <c r="AQ91" s="100"/>
      <c r="AR91" s="100"/>
      <c r="AS91" s="100"/>
      <c r="AT91" s="255"/>
    </row>
    <row r="92" spans="1:47" s="100" customFormat="1" x14ac:dyDescent="0.15">
      <c r="A92" s="202"/>
      <c r="B92" s="202"/>
      <c r="C92" s="202"/>
      <c r="D92" s="99"/>
      <c r="F92" s="230"/>
      <c r="G92" s="249"/>
      <c r="H92" s="249"/>
      <c r="I92" s="249"/>
      <c r="J92" s="249"/>
      <c r="K92" s="249"/>
      <c r="L92" s="249"/>
      <c r="M92" s="249"/>
      <c r="N92" s="249"/>
      <c r="O92" s="249"/>
      <c r="P92" s="249"/>
      <c r="Q92" s="249"/>
      <c r="R92" s="249"/>
      <c r="S92" s="249"/>
      <c r="T92" s="250"/>
      <c r="U92" s="250"/>
      <c r="V92" s="250"/>
      <c r="W92" s="250"/>
      <c r="X92" s="250"/>
      <c r="Y92" s="250"/>
      <c r="Z92" s="250"/>
      <c r="AA92" s="250"/>
      <c r="AB92" s="250"/>
      <c r="AC92" s="250"/>
      <c r="AD92" s="249"/>
      <c r="AE92" s="249"/>
      <c r="AF92" s="249"/>
      <c r="AG92" s="249"/>
      <c r="AH92" s="249"/>
      <c r="AI92" s="249"/>
      <c r="AJ92" s="249"/>
      <c r="AK92" s="249"/>
      <c r="AL92" s="249"/>
      <c r="AM92" s="249"/>
      <c r="AN92" s="249"/>
    </row>
    <row r="93" spans="1:47" x14ac:dyDescent="0.15">
      <c r="D93" s="99" t="s">
        <v>189</v>
      </c>
      <c r="E93" s="242"/>
      <c r="F93" s="230"/>
      <c r="G93" s="249"/>
      <c r="H93" s="249"/>
      <c r="I93" s="249"/>
      <c r="J93" s="249"/>
      <c r="K93" s="249"/>
      <c r="L93" s="249"/>
      <c r="M93" s="249"/>
      <c r="N93" s="249"/>
      <c r="O93" s="249"/>
      <c r="P93" s="249"/>
      <c r="Q93" s="249"/>
      <c r="R93" s="249"/>
      <c r="S93" s="249"/>
      <c r="T93" s="250"/>
      <c r="U93" s="250"/>
      <c r="V93" s="250"/>
      <c r="W93" s="250"/>
      <c r="X93" s="250"/>
      <c r="Y93" s="250"/>
      <c r="Z93" s="250"/>
      <c r="AA93" s="250"/>
      <c r="AB93" s="250"/>
      <c r="AC93" s="250"/>
      <c r="AD93" s="249"/>
      <c r="AE93" s="249"/>
      <c r="AF93" s="249"/>
      <c r="AG93" s="249"/>
      <c r="AH93" s="249"/>
      <c r="AI93" s="249"/>
      <c r="AJ93" s="249"/>
      <c r="AK93" s="249"/>
      <c r="AL93" s="249"/>
      <c r="AM93" s="249"/>
      <c r="AN93" s="249"/>
      <c r="AO93" s="100"/>
      <c r="AP93" s="100"/>
      <c r="AQ93" s="100"/>
      <c r="AR93" s="100"/>
      <c r="AS93" s="100"/>
    </row>
    <row r="94" spans="1:47" x14ac:dyDescent="0.15">
      <c r="C94" s="1" t="s">
        <v>179</v>
      </c>
      <c r="D94" s="100" t="s">
        <v>190</v>
      </c>
      <c r="E94" s="242"/>
      <c r="F94" s="230"/>
      <c r="G94" s="156">
        <v>17</v>
      </c>
      <c r="H94" s="156">
        <v>17</v>
      </c>
      <c r="I94" s="156">
        <v>17</v>
      </c>
      <c r="J94" s="156">
        <v>17</v>
      </c>
      <c r="K94" s="156">
        <v>17</v>
      </c>
      <c r="L94" s="156">
        <v>17</v>
      </c>
      <c r="M94" s="156">
        <v>17</v>
      </c>
      <c r="N94" s="156">
        <v>17</v>
      </c>
      <c r="O94" s="156">
        <v>17</v>
      </c>
      <c r="P94" s="156">
        <v>17</v>
      </c>
      <c r="Q94" s="156">
        <v>17</v>
      </c>
      <c r="R94" s="156">
        <v>17</v>
      </c>
      <c r="S94" s="156">
        <v>17</v>
      </c>
      <c r="T94" s="156">
        <v>17</v>
      </c>
      <c r="U94" s="156">
        <v>17</v>
      </c>
      <c r="V94" s="156">
        <v>17</v>
      </c>
      <c r="W94" s="156">
        <v>17</v>
      </c>
      <c r="X94" s="156">
        <v>17</v>
      </c>
      <c r="Y94" s="156">
        <v>17</v>
      </c>
      <c r="Z94" s="156">
        <v>17</v>
      </c>
      <c r="AA94" s="156">
        <v>17</v>
      </c>
      <c r="AB94" s="156">
        <v>17</v>
      </c>
      <c r="AC94" s="156">
        <v>17</v>
      </c>
      <c r="AD94" s="156">
        <v>17</v>
      </c>
      <c r="AE94" s="267">
        <v>204</v>
      </c>
      <c r="AF94" s="267">
        <v>204</v>
      </c>
      <c r="AG94" s="267">
        <v>204</v>
      </c>
      <c r="AH94" s="249"/>
      <c r="AI94" s="249"/>
      <c r="AJ94" s="249"/>
      <c r="AK94" s="249"/>
      <c r="AL94" s="249"/>
      <c r="AM94" s="249"/>
      <c r="AN94" s="249"/>
      <c r="AO94" s="100"/>
      <c r="AP94" s="100"/>
      <c r="AQ94" s="100"/>
      <c r="AR94" s="100"/>
      <c r="AS94" s="100"/>
    </row>
    <row r="95" spans="1:47" x14ac:dyDescent="0.15">
      <c r="C95" s="1" t="s">
        <v>191</v>
      </c>
      <c r="D95" s="99" t="s">
        <v>192</v>
      </c>
      <c r="E95" s="95"/>
      <c r="F95" s="268">
        <v>5.9501169126101532E-2</v>
      </c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8"/>
      <c r="AE95" s="158"/>
      <c r="AF95" s="158"/>
      <c r="AG95" s="269"/>
      <c r="AH95" s="269">
        <v>1179.5012259408636</v>
      </c>
      <c r="AI95" s="269">
        <v>1518.6078283988616</v>
      </c>
      <c r="AJ95" s="269">
        <v>2189.8324885511583</v>
      </c>
      <c r="AK95" s="269">
        <v>2835.5202394610997</v>
      </c>
      <c r="AL95" s="269">
        <v>3212.6444313094271</v>
      </c>
      <c r="AM95" s="269">
        <v>3639.9261406735804</v>
      </c>
      <c r="AN95" s="269">
        <v>4124.0363173831674</v>
      </c>
      <c r="AO95" s="270"/>
      <c r="AQ95" s="100"/>
      <c r="AR95" s="100"/>
      <c r="AS95" s="100"/>
    </row>
    <row r="96" spans="1:47" x14ac:dyDescent="0.15">
      <c r="D96" s="99" t="s">
        <v>193</v>
      </c>
      <c r="E96" s="95"/>
      <c r="F96" s="271"/>
      <c r="G96" s="248">
        <v>17</v>
      </c>
      <c r="H96" s="248">
        <v>17</v>
      </c>
      <c r="I96" s="248">
        <v>17</v>
      </c>
      <c r="J96" s="248">
        <v>17</v>
      </c>
      <c r="K96" s="248">
        <v>17</v>
      </c>
      <c r="L96" s="248">
        <v>17</v>
      </c>
      <c r="M96" s="248">
        <v>17</v>
      </c>
      <c r="N96" s="248">
        <v>17</v>
      </c>
      <c r="O96" s="248">
        <v>17</v>
      </c>
      <c r="P96" s="248">
        <v>17</v>
      </c>
      <c r="Q96" s="248">
        <v>17</v>
      </c>
      <c r="R96" s="248">
        <v>17</v>
      </c>
      <c r="S96" s="248">
        <v>17</v>
      </c>
      <c r="T96" s="248">
        <v>17</v>
      </c>
      <c r="U96" s="248">
        <v>17</v>
      </c>
      <c r="V96" s="248">
        <v>17</v>
      </c>
      <c r="W96" s="248">
        <v>17</v>
      </c>
      <c r="X96" s="248">
        <v>17</v>
      </c>
      <c r="Y96" s="248">
        <v>17</v>
      </c>
      <c r="Z96" s="248">
        <v>17</v>
      </c>
      <c r="AA96" s="248">
        <v>17</v>
      </c>
      <c r="AB96" s="248">
        <v>17</v>
      </c>
      <c r="AC96" s="248">
        <v>17</v>
      </c>
      <c r="AD96" s="248">
        <v>17</v>
      </c>
      <c r="AE96" s="248">
        <v>204</v>
      </c>
      <c r="AF96" s="248">
        <v>204</v>
      </c>
      <c r="AG96" s="248">
        <v>204</v>
      </c>
      <c r="AH96" s="248">
        <v>1179.5012259408636</v>
      </c>
      <c r="AI96" s="248">
        <v>1518.6078283988616</v>
      </c>
      <c r="AJ96" s="248">
        <v>2189.8324885511583</v>
      </c>
      <c r="AK96" s="248">
        <v>2835.5202394610997</v>
      </c>
      <c r="AL96" s="248">
        <v>3212.6444313094271</v>
      </c>
      <c r="AM96" s="248">
        <v>3639.9261406735804</v>
      </c>
      <c r="AN96" s="248">
        <v>4124.0363173831674</v>
      </c>
      <c r="AO96" s="100"/>
      <c r="AP96" s="100"/>
      <c r="AQ96" s="100"/>
      <c r="AR96" s="100"/>
      <c r="AS96" s="100"/>
    </row>
    <row r="97" spans="1:45" x14ac:dyDescent="0.15">
      <c r="D97" s="99"/>
      <c r="E97" s="242"/>
      <c r="F97" s="230"/>
      <c r="G97" s="249"/>
      <c r="H97" s="249"/>
      <c r="I97" s="249"/>
      <c r="J97" s="249"/>
      <c r="K97" s="249"/>
      <c r="L97" s="249"/>
      <c r="M97" s="249"/>
      <c r="N97" s="249"/>
      <c r="O97" s="249"/>
      <c r="P97" s="249"/>
      <c r="Q97" s="249"/>
      <c r="R97" s="249"/>
      <c r="S97" s="249"/>
      <c r="T97" s="250"/>
      <c r="U97" s="250"/>
      <c r="V97" s="250"/>
      <c r="W97" s="250"/>
      <c r="X97" s="250"/>
      <c r="Y97" s="250"/>
      <c r="Z97" s="250"/>
      <c r="AA97" s="250"/>
      <c r="AB97" s="250"/>
      <c r="AC97" s="250"/>
      <c r="AD97" s="249"/>
      <c r="AE97" s="249"/>
      <c r="AF97" s="249"/>
      <c r="AG97" s="249"/>
      <c r="AH97" s="249"/>
      <c r="AI97" s="249"/>
      <c r="AJ97" s="249"/>
      <c r="AK97" s="249"/>
      <c r="AL97" s="249"/>
      <c r="AM97" s="249"/>
      <c r="AN97" s="249"/>
      <c r="AO97" s="100"/>
      <c r="AP97" s="100"/>
      <c r="AQ97" s="100"/>
      <c r="AR97" s="100"/>
      <c r="AS97" s="100"/>
    </row>
    <row r="98" spans="1:45" x14ac:dyDescent="0.15">
      <c r="D98" s="100"/>
      <c r="E98" s="100"/>
      <c r="F98" s="272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231"/>
      <c r="U98" s="231"/>
      <c r="V98" s="231"/>
      <c r="W98" s="231"/>
      <c r="X98" s="231"/>
      <c r="Y98" s="231"/>
      <c r="Z98" s="231"/>
      <c r="AA98" s="231"/>
      <c r="AB98" s="231"/>
      <c r="AC98" s="231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</row>
    <row r="99" spans="1:45" ht="18" x14ac:dyDescent="0.2">
      <c r="D99" s="273" t="s">
        <v>194</v>
      </c>
      <c r="E99" s="274"/>
      <c r="F99" s="274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231"/>
      <c r="U99" s="231"/>
      <c r="V99" s="231"/>
      <c r="W99" s="231"/>
      <c r="X99" s="231"/>
      <c r="Y99" s="231"/>
      <c r="Z99" s="231"/>
      <c r="AA99" s="231"/>
      <c r="AB99" s="231"/>
      <c r="AC99" s="231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</row>
    <row r="100" spans="1:45" x14ac:dyDescent="0.15">
      <c r="D100" s="275" t="s">
        <v>1</v>
      </c>
      <c r="E100" s="202"/>
      <c r="F100" s="202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231"/>
      <c r="U100" s="231"/>
      <c r="V100" s="231"/>
      <c r="W100" s="231"/>
      <c r="X100" s="231"/>
      <c r="Y100" s="231"/>
      <c r="Z100" s="231"/>
      <c r="AA100" s="231"/>
      <c r="AB100" s="231"/>
      <c r="AC100" s="231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</row>
    <row r="101" spans="1:45" x14ac:dyDescent="0.15">
      <c r="D101" s="99"/>
      <c r="E101" s="276"/>
      <c r="F101" s="277" t="s">
        <v>69</v>
      </c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231"/>
      <c r="U101" s="231"/>
      <c r="V101" s="231"/>
      <c r="W101" s="231"/>
      <c r="X101" s="231"/>
      <c r="Y101" s="231"/>
      <c r="Z101" s="231"/>
      <c r="AA101" s="231"/>
      <c r="AB101" s="231"/>
      <c r="AC101" s="231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</row>
    <row r="102" spans="1:45" ht="11.25" customHeight="1" x14ac:dyDescent="0.15">
      <c r="D102" s="99" t="s">
        <v>195</v>
      </c>
      <c r="E102" s="278"/>
      <c r="F102" s="279" t="s">
        <v>196</v>
      </c>
      <c r="G102" s="102">
        <v>1</v>
      </c>
      <c r="H102" s="102">
        <v>2</v>
      </c>
      <c r="I102" s="102">
        <v>3</v>
      </c>
      <c r="J102" s="102">
        <v>4</v>
      </c>
      <c r="K102" s="102">
        <v>5</v>
      </c>
      <c r="L102" s="102">
        <v>6</v>
      </c>
      <c r="M102" s="102">
        <v>7</v>
      </c>
      <c r="N102" s="102">
        <v>8</v>
      </c>
      <c r="O102" s="102">
        <v>9</v>
      </c>
      <c r="P102" s="102">
        <v>10</v>
      </c>
      <c r="Q102" s="102">
        <v>11</v>
      </c>
      <c r="R102" s="102">
        <v>12</v>
      </c>
      <c r="S102" s="102">
        <v>13</v>
      </c>
      <c r="T102" s="102">
        <v>14</v>
      </c>
      <c r="U102" s="102">
        <v>15</v>
      </c>
      <c r="V102" s="102">
        <v>16</v>
      </c>
      <c r="W102" s="102">
        <v>17</v>
      </c>
      <c r="X102" s="102">
        <v>18</v>
      </c>
      <c r="Y102" s="102">
        <v>19</v>
      </c>
      <c r="Z102" s="102">
        <v>20</v>
      </c>
      <c r="AA102" s="102">
        <v>21</v>
      </c>
      <c r="AB102" s="102">
        <v>22</v>
      </c>
      <c r="AC102" s="102">
        <v>23</v>
      </c>
      <c r="AD102" s="102">
        <v>24</v>
      </c>
      <c r="AE102" s="103">
        <v>1</v>
      </c>
      <c r="AF102" s="103">
        <v>2</v>
      </c>
      <c r="AG102" s="103">
        <v>3</v>
      </c>
      <c r="AH102" s="103">
        <v>4</v>
      </c>
      <c r="AI102" s="103">
        <v>5</v>
      </c>
      <c r="AJ102" s="103">
        <v>6</v>
      </c>
      <c r="AK102" s="103">
        <v>7</v>
      </c>
      <c r="AL102" s="103">
        <v>8</v>
      </c>
      <c r="AM102" s="103">
        <v>9</v>
      </c>
      <c r="AN102" s="103">
        <v>10</v>
      </c>
      <c r="AO102" s="100"/>
      <c r="AP102" s="100"/>
      <c r="AQ102" s="100"/>
      <c r="AR102" s="100"/>
      <c r="AS102" s="100"/>
    </row>
    <row r="103" spans="1:45" ht="11.25" customHeight="1" x14ac:dyDescent="0.15">
      <c r="D103" s="100"/>
      <c r="E103" s="95"/>
      <c r="F103" s="136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231"/>
      <c r="U103" s="231"/>
      <c r="V103" s="231"/>
      <c r="W103" s="231"/>
      <c r="X103" s="231"/>
      <c r="Y103" s="231"/>
      <c r="Z103" s="231"/>
      <c r="AA103" s="231"/>
      <c r="AB103" s="231"/>
      <c r="AC103" s="231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</row>
    <row r="104" spans="1:45" ht="11.25" customHeight="1" x14ac:dyDescent="0.15">
      <c r="D104" s="100" t="s">
        <v>197</v>
      </c>
      <c r="E104" s="95"/>
      <c r="F104" s="280"/>
      <c r="G104" s="136">
        <v>35.919180000000026</v>
      </c>
      <c r="H104" s="136">
        <v>45.715319999999998</v>
      </c>
      <c r="I104" s="136">
        <v>52.246079999999992</v>
      </c>
      <c r="J104" s="136">
        <v>52.246079999999992</v>
      </c>
      <c r="K104" s="136">
        <v>52.246079999999992</v>
      </c>
      <c r="L104" s="136">
        <v>52.246079999999992</v>
      </c>
      <c r="M104" s="136">
        <v>55.51146</v>
      </c>
      <c r="N104" s="136">
        <v>52.246079999999992</v>
      </c>
      <c r="O104" s="136">
        <v>55.51146</v>
      </c>
      <c r="P104" s="136">
        <v>65.307599999999994</v>
      </c>
      <c r="Q104" s="136">
        <v>65.307599999999994</v>
      </c>
      <c r="R104" s="136">
        <v>68.572980000000001</v>
      </c>
      <c r="S104" s="136">
        <v>123.32251800000009</v>
      </c>
      <c r="T104" s="136">
        <v>156.95593200000002</v>
      </c>
      <c r="U104" s="136">
        <v>179.37820799999997</v>
      </c>
      <c r="V104" s="136">
        <v>179.37820799999997</v>
      </c>
      <c r="W104" s="136">
        <v>179.37820799999997</v>
      </c>
      <c r="X104" s="136">
        <v>179.37820799999997</v>
      </c>
      <c r="Y104" s="136">
        <v>190.58934600000001</v>
      </c>
      <c r="Z104" s="136">
        <v>179.37820799999997</v>
      </c>
      <c r="AA104" s="136">
        <v>190.58934600000001</v>
      </c>
      <c r="AB104" s="136">
        <v>224.22275999999999</v>
      </c>
      <c r="AC104" s="136">
        <v>224.22275999999999</v>
      </c>
      <c r="AD104" s="136">
        <v>235.43389799999997</v>
      </c>
      <c r="AE104" s="136">
        <v>653.07599999999991</v>
      </c>
      <c r="AF104" s="136">
        <v>2242.2275999999997</v>
      </c>
      <c r="AG104" s="136">
        <v>8660.6041049999985</v>
      </c>
      <c r="AH104" s="136">
        <v>19823.160507000001</v>
      </c>
      <c r="AI104" s="136">
        <v>25522.319152762495</v>
      </c>
      <c r="AJ104" s="136">
        <v>36803.184218283517</v>
      </c>
      <c r="AK104" s="136">
        <v>47654.865964931683</v>
      </c>
      <c r="AL104" s="136">
        <v>53992.963138267616</v>
      </c>
      <c r="AM104" s="136">
        <v>61174.027235657202</v>
      </c>
      <c r="AN104" s="136">
        <v>69310.172857999627</v>
      </c>
      <c r="AO104" s="100"/>
      <c r="AP104" s="100"/>
      <c r="AQ104" s="100"/>
      <c r="AR104" s="100"/>
      <c r="AS104" s="100"/>
    </row>
    <row r="105" spans="1:45" ht="11.25" customHeight="1" x14ac:dyDescent="0.15">
      <c r="D105" s="100"/>
      <c r="E105" s="95"/>
      <c r="F105" s="28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231"/>
      <c r="U105" s="231"/>
      <c r="V105" s="231"/>
      <c r="W105" s="231"/>
      <c r="X105" s="231"/>
      <c r="Y105" s="231"/>
      <c r="Z105" s="231"/>
      <c r="AA105" s="231"/>
      <c r="AB105" s="231"/>
      <c r="AC105" s="231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  <c r="AS105" s="100"/>
    </row>
    <row r="106" spans="1:45" s="160" customFormat="1" ht="11.25" customHeight="1" x14ac:dyDescent="0.15">
      <c r="A106" s="56"/>
      <c r="B106" s="56"/>
      <c r="C106" s="56"/>
      <c r="D106" s="100" t="s">
        <v>198</v>
      </c>
      <c r="E106" s="95"/>
      <c r="F106" s="280"/>
      <c r="G106" s="136">
        <v>4.9386757721644035</v>
      </c>
      <c r="H106" s="136">
        <v>6.2855873463910541</v>
      </c>
      <c r="I106" s="136">
        <v>7.1835283958754896</v>
      </c>
      <c r="J106" s="136">
        <v>7.1835283958754896</v>
      </c>
      <c r="K106" s="136">
        <v>7.1835283958754896</v>
      </c>
      <c r="L106" s="136">
        <v>7.1835283958754896</v>
      </c>
      <c r="M106" s="136">
        <v>7.6324989206177092</v>
      </c>
      <c r="N106" s="136">
        <v>7.1835283958754905</v>
      </c>
      <c r="O106" s="136">
        <v>7.6324989206177092</v>
      </c>
      <c r="P106" s="136">
        <v>8.9794104948443625</v>
      </c>
      <c r="Q106" s="136">
        <v>8.9794104948443625</v>
      </c>
      <c r="R106" s="136">
        <v>9.4283810195865829</v>
      </c>
      <c r="S106" s="136">
        <v>16.956120151097785</v>
      </c>
      <c r="T106" s="136">
        <v>21.580516555942623</v>
      </c>
      <c r="U106" s="136">
        <v>24.663447492505853</v>
      </c>
      <c r="V106" s="136">
        <v>24.663447492505853</v>
      </c>
      <c r="W106" s="136">
        <v>24.663447492505853</v>
      </c>
      <c r="X106" s="136">
        <v>24.663447492505853</v>
      </c>
      <c r="Y106" s="136">
        <v>26.204912960787471</v>
      </c>
      <c r="Z106" s="136">
        <v>24.663447492505853</v>
      </c>
      <c r="AA106" s="136">
        <v>26.204912960787471</v>
      </c>
      <c r="AB106" s="136">
        <v>30.829309365632316</v>
      </c>
      <c r="AC106" s="136">
        <v>30.829309365632316</v>
      </c>
      <c r="AD106" s="136">
        <v>32.370774833913927</v>
      </c>
      <c r="AE106" s="136">
        <v>7.4828420790369696</v>
      </c>
      <c r="AF106" s="136">
        <v>25.691091138026927</v>
      </c>
      <c r="AG106" s="136">
        <v>99.231839520629009</v>
      </c>
      <c r="AH106" s="136">
        <v>227.13065490277313</v>
      </c>
      <c r="AI106" s="136">
        <v>292.43071818732028</v>
      </c>
      <c r="AJ106" s="136">
        <v>421.68509562611587</v>
      </c>
      <c r="AK106" s="136">
        <v>546.0219581078735</v>
      </c>
      <c r="AL106" s="136">
        <v>618.64287853622079</v>
      </c>
      <c r="AM106" s="136">
        <v>700.92238138153812</v>
      </c>
      <c r="AN106" s="136">
        <v>794.14505810528283</v>
      </c>
      <c r="AO106" s="272"/>
      <c r="AP106" s="272"/>
      <c r="AQ106" s="272"/>
      <c r="AR106" s="272"/>
      <c r="AS106" s="272"/>
    </row>
    <row r="107" spans="1:45" s="160" customFormat="1" ht="11.25" customHeight="1" x14ac:dyDescent="0.15">
      <c r="A107" s="56"/>
      <c r="B107" s="56"/>
      <c r="C107" s="56"/>
      <c r="D107" s="100" t="s">
        <v>199</v>
      </c>
      <c r="E107" s="100"/>
      <c r="F107" s="281"/>
      <c r="G107" s="282">
        <v>4.1821125854395111</v>
      </c>
      <c r="H107" s="282">
        <v>4.1821125854395111</v>
      </c>
      <c r="I107" s="282">
        <v>4.1821125854395111</v>
      </c>
      <c r="J107" s="282">
        <v>4.1821125854395111</v>
      </c>
      <c r="K107" s="282">
        <v>4.1821125854395111</v>
      </c>
      <c r="L107" s="282">
        <v>4.1821125854395111</v>
      </c>
      <c r="M107" s="282">
        <v>4.1821125854395111</v>
      </c>
      <c r="N107" s="282">
        <v>4.1821125854395111</v>
      </c>
      <c r="O107" s="282">
        <v>4.1821125854395111</v>
      </c>
      <c r="P107" s="282">
        <v>4.1821125854395111</v>
      </c>
      <c r="Q107" s="282">
        <v>4.1821125854395111</v>
      </c>
      <c r="R107" s="282">
        <v>4.1821125854395111</v>
      </c>
      <c r="S107" s="282">
        <v>4.1821125854395111</v>
      </c>
      <c r="T107" s="282">
        <v>4.1821125854395111</v>
      </c>
      <c r="U107" s="282">
        <v>4.1821125854395111</v>
      </c>
      <c r="V107" s="282">
        <v>4.1821125854395111</v>
      </c>
      <c r="W107" s="282">
        <v>4.1821125854395111</v>
      </c>
      <c r="X107" s="282">
        <v>4.1821125854395111</v>
      </c>
      <c r="Y107" s="282">
        <v>4.1821125854395111</v>
      </c>
      <c r="Z107" s="282">
        <v>4.1821125854395111</v>
      </c>
      <c r="AA107" s="282">
        <v>4.1821125854395111</v>
      </c>
      <c r="AB107" s="282">
        <v>4.1821125854395111</v>
      </c>
      <c r="AC107" s="282">
        <v>4.1821125854395111</v>
      </c>
      <c r="AD107" s="282">
        <v>4.1821125854395111</v>
      </c>
      <c r="AE107" s="283">
        <v>4.1821125854395111</v>
      </c>
      <c r="AF107" s="282">
        <v>4.1821125854395111</v>
      </c>
      <c r="AG107" s="282">
        <v>4.1821125854395111</v>
      </c>
      <c r="AH107" s="282">
        <v>4.1821125854395111</v>
      </c>
      <c r="AI107" s="282">
        <v>4.1821125854395111</v>
      </c>
      <c r="AJ107" s="282">
        <v>4.1821125854395111</v>
      </c>
      <c r="AK107" s="282">
        <v>4.1821125854395111</v>
      </c>
      <c r="AL107" s="282">
        <v>4.1821125854395111</v>
      </c>
      <c r="AM107" s="282">
        <v>4.1821125854395111</v>
      </c>
      <c r="AN107" s="282">
        <v>4.1821125854395111</v>
      </c>
      <c r="AO107" s="272"/>
      <c r="AP107" s="272"/>
      <c r="AQ107" s="272"/>
      <c r="AR107" s="272"/>
      <c r="AS107" s="272"/>
    </row>
    <row r="108" spans="1:45" s="160" customFormat="1" ht="11.25" customHeight="1" x14ac:dyDescent="0.15">
      <c r="A108" s="56"/>
      <c r="B108" s="56"/>
      <c r="C108" s="56"/>
      <c r="D108" s="100" t="s">
        <v>200</v>
      </c>
      <c r="E108" s="100"/>
      <c r="F108" s="281"/>
      <c r="G108" s="284">
        <v>0.13749411239801132</v>
      </c>
      <c r="H108" s="284">
        <v>0.13749411239801132</v>
      </c>
      <c r="I108" s="284">
        <v>0.13749411239801132</v>
      </c>
      <c r="J108" s="284">
        <v>0.13749411239801132</v>
      </c>
      <c r="K108" s="284">
        <v>0.13749411239801132</v>
      </c>
      <c r="L108" s="284">
        <v>0.13749411239801132</v>
      </c>
      <c r="M108" s="284">
        <v>0.13749411239801132</v>
      </c>
      <c r="N108" s="284">
        <v>0.13749411239801132</v>
      </c>
      <c r="O108" s="284">
        <v>0.13749411239801132</v>
      </c>
      <c r="P108" s="284">
        <v>0.13749411239801132</v>
      </c>
      <c r="Q108" s="284">
        <v>0.13749411239801132</v>
      </c>
      <c r="R108" s="284">
        <v>0.13749411239801132</v>
      </c>
      <c r="S108" s="284">
        <v>0.13749411239801132</v>
      </c>
      <c r="T108" s="284">
        <v>0.13749411239801132</v>
      </c>
      <c r="U108" s="284">
        <v>0.13749411239801135</v>
      </c>
      <c r="V108" s="284">
        <v>0.13749411239801135</v>
      </c>
      <c r="W108" s="284">
        <v>0.13749411239801135</v>
      </c>
      <c r="X108" s="284">
        <v>0.13749411239801135</v>
      </c>
      <c r="Y108" s="284">
        <v>0.13749411239801132</v>
      </c>
      <c r="Z108" s="284">
        <v>0.13749411239801135</v>
      </c>
      <c r="AA108" s="284">
        <v>0.13749411239801132</v>
      </c>
      <c r="AB108" s="284">
        <v>0.13749411239801132</v>
      </c>
      <c r="AC108" s="284">
        <v>0.13749411239801132</v>
      </c>
      <c r="AD108" s="284">
        <v>0.13749411239801132</v>
      </c>
      <c r="AE108" s="284">
        <v>1.1457842699834278E-2</v>
      </c>
      <c r="AF108" s="284">
        <v>1.1457842699834277E-2</v>
      </c>
      <c r="AG108" s="284">
        <v>1.1457842699834277E-2</v>
      </c>
      <c r="AH108" s="284">
        <v>1.1457842699834278E-2</v>
      </c>
      <c r="AI108" s="284">
        <v>1.1457842699834277E-2</v>
      </c>
      <c r="AJ108" s="284">
        <v>1.1457842699834277E-2</v>
      </c>
      <c r="AK108" s="284">
        <v>1.1457842699834278E-2</v>
      </c>
      <c r="AL108" s="284">
        <v>1.1457842699834277E-2</v>
      </c>
      <c r="AM108" s="284">
        <v>1.1457842699834277E-2</v>
      </c>
      <c r="AN108" s="284">
        <v>1.1457842699834277E-2</v>
      </c>
      <c r="AO108" s="272"/>
      <c r="AP108" s="272"/>
      <c r="AQ108" s="272"/>
      <c r="AR108" s="272"/>
      <c r="AS108" s="272"/>
    </row>
    <row r="109" spans="1:45" s="160" customFormat="1" ht="11.25" customHeight="1" x14ac:dyDescent="0.15">
      <c r="A109" s="56"/>
      <c r="B109" s="56"/>
      <c r="C109" s="56"/>
      <c r="D109" s="272"/>
      <c r="E109" s="272"/>
      <c r="F109" s="272"/>
      <c r="G109" s="272"/>
      <c r="H109" s="272"/>
      <c r="I109" s="272"/>
      <c r="J109" s="272"/>
      <c r="K109" s="272"/>
      <c r="L109" s="272"/>
      <c r="M109" s="272"/>
      <c r="N109" s="272"/>
      <c r="O109" s="272"/>
      <c r="P109" s="272"/>
      <c r="Q109" s="272"/>
      <c r="R109" s="272"/>
      <c r="S109" s="272"/>
      <c r="T109" s="285"/>
      <c r="U109" s="285"/>
      <c r="V109" s="285"/>
      <c r="W109" s="285"/>
      <c r="X109" s="285"/>
      <c r="Y109" s="285"/>
      <c r="Z109" s="285"/>
      <c r="AA109" s="285"/>
      <c r="AB109" s="285"/>
      <c r="AC109" s="285"/>
      <c r="AD109" s="272"/>
      <c r="AE109" s="272"/>
      <c r="AF109" s="272"/>
      <c r="AG109" s="272"/>
      <c r="AH109" s="272"/>
      <c r="AI109" s="272"/>
      <c r="AJ109" s="272"/>
      <c r="AK109" s="272"/>
      <c r="AL109" s="272"/>
      <c r="AM109" s="272"/>
      <c r="AN109" s="272"/>
      <c r="AO109" s="272"/>
      <c r="AP109" s="272"/>
      <c r="AQ109" s="272"/>
      <c r="AR109" s="272"/>
      <c r="AS109" s="272"/>
    </row>
    <row r="110" spans="1:45" s="160" customFormat="1" ht="11.25" customHeight="1" x14ac:dyDescent="0.15">
      <c r="A110" s="56"/>
      <c r="B110" s="56"/>
      <c r="C110" s="56"/>
      <c r="D110" s="272" t="s">
        <v>201</v>
      </c>
      <c r="E110" s="286"/>
      <c r="F110" s="286"/>
      <c r="G110" s="136">
        <v>25.826662620000022</v>
      </c>
      <c r="H110" s="136">
        <v>32.870297880000003</v>
      </c>
      <c r="I110" s="136">
        <v>37.566054719999997</v>
      </c>
      <c r="J110" s="136">
        <v>37.566054719999997</v>
      </c>
      <c r="K110" s="136">
        <v>37.566054719999997</v>
      </c>
      <c r="L110" s="136">
        <v>37.566054719999997</v>
      </c>
      <c r="M110" s="136">
        <v>39.913933139999997</v>
      </c>
      <c r="N110" s="136">
        <v>37.566054719999997</v>
      </c>
      <c r="O110" s="136">
        <v>39.913933139999997</v>
      </c>
      <c r="P110" s="136">
        <v>46.9575684</v>
      </c>
      <c r="Q110" s="136">
        <v>46.9575684</v>
      </c>
      <c r="R110" s="136">
        <v>49.30544682</v>
      </c>
      <c r="S110" s="136">
        <v>90.468721662000064</v>
      </c>
      <c r="T110" s="136">
        <v>115.14200938800001</v>
      </c>
      <c r="U110" s="136">
        <v>131.59086787199999</v>
      </c>
      <c r="V110" s="136">
        <v>131.59086787199999</v>
      </c>
      <c r="W110" s="136">
        <v>131.59086787199999</v>
      </c>
      <c r="X110" s="136">
        <v>131.59086787199999</v>
      </c>
      <c r="Y110" s="136">
        <v>139.815297114</v>
      </c>
      <c r="Z110" s="136">
        <v>131.59086787199999</v>
      </c>
      <c r="AA110" s="136">
        <v>139.815297114</v>
      </c>
      <c r="AB110" s="136">
        <v>164.48858483999999</v>
      </c>
      <c r="AC110" s="136">
        <v>164.48858483999999</v>
      </c>
      <c r="AD110" s="136">
        <v>172.713014082</v>
      </c>
      <c r="AE110" s="136">
        <v>469.57568399999997</v>
      </c>
      <c r="AF110" s="136">
        <v>1644.8858483999998</v>
      </c>
      <c r="AG110" s="136">
        <v>6079.2765894449994</v>
      </c>
      <c r="AH110" s="136">
        <v>13320.388638062999</v>
      </c>
      <c r="AI110" s="136">
        <v>16062.875371506112</v>
      </c>
      <c r="AJ110" s="136">
        <v>23046.641285711808</v>
      </c>
      <c r="AK110" s="136">
        <v>29696.248087670265</v>
      </c>
      <c r="AL110" s="136">
        <v>33485.40308333042</v>
      </c>
      <c r="AM110" s="136">
        <v>37762.471093413362</v>
      </c>
      <c r="AN110" s="136">
        <v>42590.740088837352</v>
      </c>
      <c r="AO110" s="272"/>
      <c r="AP110" s="272"/>
      <c r="AQ110" s="272"/>
      <c r="AR110" s="272"/>
      <c r="AS110" s="272"/>
    </row>
    <row r="111" spans="1:45" s="160" customFormat="1" ht="11.25" customHeight="1" x14ac:dyDescent="0.15">
      <c r="A111" s="56"/>
      <c r="B111" s="56"/>
      <c r="C111" s="56"/>
      <c r="D111" s="272"/>
      <c r="E111" s="287"/>
      <c r="F111" s="136"/>
      <c r="G111" s="272"/>
      <c r="H111" s="272"/>
      <c r="I111" s="272"/>
      <c r="J111" s="272"/>
      <c r="K111" s="272"/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  <c r="AM111" s="272"/>
      <c r="AN111" s="272"/>
      <c r="AO111" s="272"/>
      <c r="AP111" s="272"/>
      <c r="AQ111" s="272"/>
      <c r="AR111" s="272"/>
      <c r="AS111" s="272"/>
    </row>
    <row r="112" spans="1:45" s="160" customFormat="1" ht="11.25" customHeight="1" x14ac:dyDescent="0.15">
      <c r="A112" s="56"/>
      <c r="B112" s="56"/>
      <c r="C112" s="56"/>
      <c r="D112" s="272" t="s">
        <v>202</v>
      </c>
      <c r="E112" s="286"/>
      <c r="F112" s="136"/>
      <c r="G112" s="136">
        <v>2.7731348302339396</v>
      </c>
      <c r="H112" s="136">
        <v>3.5294443293886477</v>
      </c>
      <c r="I112" s="136">
        <v>4.033650662158454</v>
      </c>
      <c r="J112" s="136">
        <v>4.033650662158454</v>
      </c>
      <c r="K112" s="136">
        <v>4.033650662158454</v>
      </c>
      <c r="L112" s="136">
        <v>4.033650662158454</v>
      </c>
      <c r="M112" s="136">
        <v>4.2857538285433572</v>
      </c>
      <c r="N112" s="136">
        <v>4.033650662158454</v>
      </c>
      <c r="O112" s="136">
        <v>4.2857538285433572</v>
      </c>
      <c r="P112" s="136">
        <v>5.0420633276980684</v>
      </c>
      <c r="Q112" s="136">
        <v>5.0420633276980684</v>
      </c>
      <c r="R112" s="136">
        <v>5.2941664940829716</v>
      </c>
      <c r="S112" s="136">
        <v>9.71406823943836</v>
      </c>
      <c r="T112" s="136">
        <v>12.363359577466994</v>
      </c>
      <c r="U112" s="136">
        <v>14.129553802819421</v>
      </c>
      <c r="V112" s="136">
        <v>14.129553802819421</v>
      </c>
      <c r="W112" s="136">
        <v>14.129553802819421</v>
      </c>
      <c r="X112" s="136">
        <v>14.129553802819421</v>
      </c>
      <c r="Y112" s="136">
        <v>15.012650915495636</v>
      </c>
      <c r="Z112" s="136">
        <v>14.129553802819421</v>
      </c>
      <c r="AA112" s="136">
        <v>15.012650915495636</v>
      </c>
      <c r="AB112" s="136">
        <v>17.661942253524277</v>
      </c>
      <c r="AC112" s="136">
        <v>17.661942253524277</v>
      </c>
      <c r="AD112" s="136">
        <v>18.545039366200491</v>
      </c>
      <c r="AE112" s="136">
        <v>50.420633276980681</v>
      </c>
      <c r="AF112" s="136">
        <v>176.61942253524273</v>
      </c>
      <c r="AG112" s="136">
        <v>652.76160148390511</v>
      </c>
      <c r="AH112" s="136">
        <v>1430.2751473533169</v>
      </c>
      <c r="AI112" s="136">
        <v>1724.7493345088851</v>
      </c>
      <c r="AJ112" s="136">
        <v>2474.6303697722933</v>
      </c>
      <c r="AK112" s="136">
        <v>3188.6311100611874</v>
      </c>
      <c r="AL112" s="136">
        <v>3595.4911775126784</v>
      </c>
      <c r="AM112" s="136">
        <v>4054.7408469165512</v>
      </c>
      <c r="AN112" s="136">
        <v>4573.1756566306094</v>
      </c>
      <c r="AO112" s="272"/>
      <c r="AP112" s="272"/>
      <c r="AQ112" s="272"/>
      <c r="AR112" s="272"/>
      <c r="AS112" s="272"/>
    </row>
    <row r="113" spans="1:45" s="160" customFormat="1" ht="11.25" customHeight="1" x14ac:dyDescent="0.15">
      <c r="A113" s="56"/>
      <c r="B113" s="56"/>
      <c r="C113" s="56"/>
      <c r="D113" s="272" t="s">
        <v>203</v>
      </c>
      <c r="E113" s="272"/>
      <c r="F113" s="136"/>
      <c r="G113" s="282">
        <v>9.3131651365906727</v>
      </c>
      <c r="H113" s="282">
        <v>9.3131651365906727</v>
      </c>
      <c r="I113" s="282">
        <v>9.3131651365906727</v>
      </c>
      <c r="J113" s="282">
        <v>9.3131651365906727</v>
      </c>
      <c r="K113" s="282">
        <v>9.3131651365906727</v>
      </c>
      <c r="L113" s="282">
        <v>9.3131651365906727</v>
      </c>
      <c r="M113" s="282">
        <v>9.3131651365906727</v>
      </c>
      <c r="N113" s="282">
        <v>9.3131651365906727</v>
      </c>
      <c r="O113" s="282">
        <v>9.3131651365906727</v>
      </c>
      <c r="P113" s="282">
        <v>9.3131651365906727</v>
      </c>
      <c r="Q113" s="282">
        <v>9.3131651365906727</v>
      </c>
      <c r="R113" s="282">
        <v>9.3131651365906727</v>
      </c>
      <c r="S113" s="282">
        <v>9.3131651365906727</v>
      </c>
      <c r="T113" s="282">
        <v>9.3131651365906727</v>
      </c>
      <c r="U113" s="282">
        <v>9.3131651365906727</v>
      </c>
      <c r="V113" s="282">
        <v>9.3131651365906727</v>
      </c>
      <c r="W113" s="282">
        <v>9.3131651365906727</v>
      </c>
      <c r="X113" s="282">
        <v>9.3131651365906727</v>
      </c>
      <c r="Y113" s="282">
        <v>9.3131651365906727</v>
      </c>
      <c r="Z113" s="282">
        <v>9.3131651365906727</v>
      </c>
      <c r="AA113" s="282">
        <v>9.3131651365906727</v>
      </c>
      <c r="AB113" s="282">
        <v>9.3131651365906727</v>
      </c>
      <c r="AC113" s="282">
        <v>9.3131651365906727</v>
      </c>
      <c r="AD113" s="282">
        <v>9.3131651365906727</v>
      </c>
      <c r="AE113" s="283">
        <v>9.3131651365906727</v>
      </c>
      <c r="AF113" s="282">
        <v>9.3131651365906727</v>
      </c>
      <c r="AG113" s="282">
        <v>9.3131651365906727</v>
      </c>
      <c r="AH113" s="282">
        <v>9.3131651365906727</v>
      </c>
      <c r="AI113" s="282">
        <v>9.3131651365906727</v>
      </c>
      <c r="AJ113" s="282">
        <v>9.3131651365906727</v>
      </c>
      <c r="AK113" s="282">
        <v>9.3131651365906727</v>
      </c>
      <c r="AL113" s="282">
        <v>9.3131651365906727</v>
      </c>
      <c r="AM113" s="282">
        <v>9.3131651365906727</v>
      </c>
      <c r="AN113" s="282">
        <v>9.3131651365906727</v>
      </c>
      <c r="AO113" s="272"/>
      <c r="AP113" s="272"/>
      <c r="AQ113" s="288"/>
      <c r="AR113" s="272"/>
      <c r="AS113" s="272"/>
    </row>
    <row r="114" spans="1:45" s="160" customFormat="1" ht="11.25" customHeight="1" x14ac:dyDescent="0.15">
      <c r="A114" s="56"/>
      <c r="B114" s="56"/>
      <c r="C114" s="56"/>
      <c r="D114" s="100" t="s">
        <v>200</v>
      </c>
      <c r="E114" s="230"/>
      <c r="F114" s="136"/>
      <c r="G114" s="284">
        <v>7.7204847945691907E-2</v>
      </c>
      <c r="H114" s="284">
        <v>7.7204847945691907E-2</v>
      </c>
      <c r="I114" s="284">
        <v>7.7204847945691893E-2</v>
      </c>
      <c r="J114" s="284">
        <v>7.7204847945691893E-2</v>
      </c>
      <c r="K114" s="284">
        <v>7.7204847945691893E-2</v>
      </c>
      <c r="L114" s="284">
        <v>7.7204847945691893E-2</v>
      </c>
      <c r="M114" s="284">
        <v>7.7204847945691879E-2</v>
      </c>
      <c r="N114" s="284">
        <v>7.7204847945691893E-2</v>
      </c>
      <c r="O114" s="284">
        <v>7.7204847945691879E-2</v>
      </c>
      <c r="P114" s="284">
        <v>7.7204847945691907E-2</v>
      </c>
      <c r="Q114" s="284">
        <v>7.7204847945691907E-2</v>
      </c>
      <c r="R114" s="284">
        <v>7.7204847945691893E-2</v>
      </c>
      <c r="S114" s="284">
        <v>7.8769622912162343E-2</v>
      </c>
      <c r="T114" s="284">
        <v>7.8769622912162329E-2</v>
      </c>
      <c r="U114" s="284">
        <v>7.8769622912162343E-2</v>
      </c>
      <c r="V114" s="284">
        <v>7.8769622912162343E-2</v>
      </c>
      <c r="W114" s="284">
        <v>7.8769622912162343E-2</v>
      </c>
      <c r="X114" s="284">
        <v>7.8769622912162343E-2</v>
      </c>
      <c r="Y114" s="284">
        <v>7.8769622912162329E-2</v>
      </c>
      <c r="Z114" s="284">
        <v>7.8769622912162343E-2</v>
      </c>
      <c r="AA114" s="284">
        <v>7.8769622912162329E-2</v>
      </c>
      <c r="AB114" s="284">
        <v>7.8769622912162343E-2</v>
      </c>
      <c r="AC114" s="284">
        <v>7.8769622912162343E-2</v>
      </c>
      <c r="AD114" s="284">
        <v>7.8769622912162343E-2</v>
      </c>
      <c r="AE114" s="284">
        <v>7.7204847945691907E-2</v>
      </c>
      <c r="AF114" s="284">
        <v>7.8769622912162329E-2</v>
      </c>
      <c r="AG114" s="284">
        <v>7.5371370584535594E-2</v>
      </c>
      <c r="AH114" s="284">
        <v>7.2151721056198617E-2</v>
      </c>
      <c r="AI114" s="284">
        <v>6.7578080353336581E-2</v>
      </c>
      <c r="AJ114" s="284">
        <v>6.7239572399360958E-2</v>
      </c>
      <c r="AK114" s="284">
        <v>6.6910923900355551E-2</v>
      </c>
      <c r="AL114" s="284">
        <v>6.6591847687728911E-2</v>
      </c>
      <c r="AM114" s="284">
        <v>6.6282064957023434E-2</v>
      </c>
      <c r="AN114" s="284">
        <v>6.5981305024299663E-2</v>
      </c>
      <c r="AO114" s="272"/>
      <c r="AP114" s="272"/>
      <c r="AQ114" s="288"/>
      <c r="AR114" s="272"/>
      <c r="AS114" s="272"/>
    </row>
    <row r="115" spans="1:45" s="160" customFormat="1" ht="11.25" customHeight="1" x14ac:dyDescent="0.15">
      <c r="A115" s="56"/>
      <c r="B115" s="56"/>
      <c r="C115" s="56"/>
      <c r="D115" s="272"/>
      <c r="E115" s="287"/>
      <c r="F115" s="136"/>
      <c r="G115" s="272"/>
      <c r="H115" s="272"/>
      <c r="I115" s="272"/>
      <c r="J115" s="272"/>
      <c r="K115" s="272"/>
      <c r="L115" s="272"/>
      <c r="M115" s="272"/>
      <c r="N115" s="272"/>
      <c r="O115" s="272"/>
      <c r="P115" s="272"/>
      <c r="Q115" s="272"/>
      <c r="R115" s="272"/>
      <c r="S115" s="272"/>
      <c r="T115" s="285"/>
      <c r="U115" s="285"/>
      <c r="V115" s="285"/>
      <c r="W115" s="285"/>
      <c r="X115" s="285"/>
      <c r="Y115" s="285"/>
      <c r="Z115" s="285"/>
      <c r="AA115" s="285"/>
      <c r="AB115" s="285"/>
      <c r="AC115" s="285"/>
      <c r="AD115" s="272"/>
      <c r="AE115" s="272"/>
      <c r="AF115" s="272"/>
      <c r="AG115" s="272"/>
      <c r="AH115" s="272"/>
      <c r="AI115" s="272"/>
      <c r="AJ115" s="272"/>
      <c r="AK115" s="272"/>
      <c r="AL115" s="272"/>
      <c r="AM115" s="272"/>
      <c r="AN115" s="272"/>
      <c r="AO115" s="272"/>
      <c r="AP115" s="272"/>
      <c r="AQ115" s="272"/>
      <c r="AR115" s="272"/>
      <c r="AS115" s="272"/>
    </row>
    <row r="116" spans="1:45" s="160" customFormat="1" ht="11.25" customHeight="1" x14ac:dyDescent="0.15">
      <c r="A116" s="56"/>
      <c r="B116" s="56"/>
      <c r="C116" s="56"/>
      <c r="D116" s="100" t="s">
        <v>204</v>
      </c>
      <c r="E116" s="272"/>
      <c r="F116" s="136"/>
      <c r="G116" s="136">
        <v>45.42953999491565</v>
      </c>
      <c r="H116" s="136">
        <v>57.819414538983509</v>
      </c>
      <c r="I116" s="136">
        <v>66.079330901695428</v>
      </c>
      <c r="J116" s="136">
        <v>66.079330901695428</v>
      </c>
      <c r="K116" s="136">
        <v>66.079330901695428</v>
      </c>
      <c r="L116" s="136">
        <v>66.079330901695428</v>
      </c>
      <c r="M116" s="136">
        <v>70.209289083051402</v>
      </c>
      <c r="N116" s="136">
        <v>66.079330901695428</v>
      </c>
      <c r="O116" s="136">
        <v>70.209289083051402</v>
      </c>
      <c r="P116" s="136">
        <v>82.599163627119296</v>
      </c>
      <c r="Q116" s="136">
        <v>82.599163627119296</v>
      </c>
      <c r="R116" s="136">
        <v>86.72912180847527</v>
      </c>
      <c r="S116" s="136">
        <v>159.1360242515423</v>
      </c>
      <c r="T116" s="136">
        <v>202.53675813832641</v>
      </c>
      <c r="U116" s="136">
        <v>231.47058072951589</v>
      </c>
      <c r="V116" s="136">
        <v>231.47058072951589</v>
      </c>
      <c r="W116" s="136">
        <v>231.47058072951589</v>
      </c>
      <c r="X116" s="136">
        <v>231.47058072951589</v>
      </c>
      <c r="Y116" s="136">
        <v>245.93749202511063</v>
      </c>
      <c r="Z116" s="136">
        <v>231.47058072951589</v>
      </c>
      <c r="AA116" s="136">
        <v>245.93749202511063</v>
      </c>
      <c r="AB116" s="136">
        <v>289.33822591189482</v>
      </c>
      <c r="AC116" s="136">
        <v>289.33822591189482</v>
      </c>
      <c r="AD116" s="136">
        <v>303.80513720748962</v>
      </c>
      <c r="AE116" s="136">
        <v>68.832636355932749</v>
      </c>
      <c r="AF116" s="136">
        <v>241.11518825991234</v>
      </c>
      <c r="AG116" s="136">
        <v>891.12926637062128</v>
      </c>
      <c r="AH116" s="136">
        <v>1952.5658982876309</v>
      </c>
      <c r="AI116" s="136">
        <v>2354.5726428150151</v>
      </c>
      <c r="AJ116" s="136">
        <v>3378.2862547989757</v>
      </c>
      <c r="AK116" s="136">
        <v>4353.0172353519283</v>
      </c>
      <c r="AL116" s="136">
        <v>4908.4495901340415</v>
      </c>
      <c r="AM116" s="136">
        <v>5535.4025543502039</v>
      </c>
      <c r="AN116" s="136">
        <v>6243.1531796799527</v>
      </c>
      <c r="AO116" s="272"/>
      <c r="AP116" s="272"/>
      <c r="AQ116" s="272"/>
      <c r="AR116" s="272"/>
      <c r="AS116" s="272"/>
    </row>
    <row r="117" spans="1:45" s="160" customFormat="1" ht="11.25" customHeight="1" x14ac:dyDescent="0.15">
      <c r="A117" s="56"/>
      <c r="B117" s="56"/>
      <c r="C117" s="56"/>
      <c r="D117" s="100" t="s">
        <v>205</v>
      </c>
      <c r="E117" s="272"/>
      <c r="F117" s="136"/>
      <c r="G117" s="282">
        <v>53.503435390652498</v>
      </c>
      <c r="H117" s="282">
        <v>53.503435390652498</v>
      </c>
      <c r="I117" s="282">
        <v>53.503435390652498</v>
      </c>
      <c r="J117" s="282">
        <v>53.503435390652498</v>
      </c>
      <c r="K117" s="282">
        <v>53.503435390652498</v>
      </c>
      <c r="L117" s="282">
        <v>53.503435390652498</v>
      </c>
      <c r="M117" s="282">
        <v>53.503435390652498</v>
      </c>
      <c r="N117" s="282">
        <v>53.503435390652498</v>
      </c>
      <c r="O117" s="282">
        <v>53.503435390652498</v>
      </c>
      <c r="P117" s="282">
        <v>53.503435390652498</v>
      </c>
      <c r="Q117" s="282">
        <v>53.503435390652498</v>
      </c>
      <c r="R117" s="282">
        <v>53.503435390652498</v>
      </c>
      <c r="S117" s="282">
        <v>53.503435390652498</v>
      </c>
      <c r="T117" s="282">
        <v>53.503435390652498</v>
      </c>
      <c r="U117" s="282">
        <v>53.503435390652498</v>
      </c>
      <c r="V117" s="282">
        <v>53.503435390652498</v>
      </c>
      <c r="W117" s="282">
        <v>53.503435390652498</v>
      </c>
      <c r="X117" s="282">
        <v>53.503435390652498</v>
      </c>
      <c r="Y117" s="282">
        <v>53.503435390652498</v>
      </c>
      <c r="Z117" s="282">
        <v>53.503435390652498</v>
      </c>
      <c r="AA117" s="282">
        <v>53.503435390652498</v>
      </c>
      <c r="AB117" s="282">
        <v>53.503435390652498</v>
      </c>
      <c r="AC117" s="282">
        <v>53.503435390652498</v>
      </c>
      <c r="AD117" s="282">
        <v>53.503435390652498</v>
      </c>
      <c r="AE117" s="283">
        <v>53.503435390652498</v>
      </c>
      <c r="AF117" s="282">
        <v>53.503435390652498</v>
      </c>
      <c r="AG117" s="282">
        <v>53.503435390652498</v>
      </c>
      <c r="AH117" s="282">
        <v>53.503435390652498</v>
      </c>
      <c r="AI117" s="282">
        <v>53.503435390652498</v>
      </c>
      <c r="AJ117" s="282">
        <v>53.503435390652498</v>
      </c>
      <c r="AK117" s="282">
        <v>53.503435390652498</v>
      </c>
      <c r="AL117" s="282">
        <v>53.503435390652498</v>
      </c>
      <c r="AM117" s="282">
        <v>53.503435390652498</v>
      </c>
      <c r="AN117" s="282">
        <v>53.503435390652498</v>
      </c>
      <c r="AO117" s="272"/>
      <c r="AP117" s="272"/>
      <c r="AQ117" s="272"/>
      <c r="AR117" s="272"/>
      <c r="AS117" s="272"/>
    </row>
    <row r="118" spans="1:45" s="160" customFormat="1" ht="11.25" customHeight="1" x14ac:dyDescent="0.15">
      <c r="A118" s="56"/>
      <c r="B118" s="56"/>
      <c r="C118" s="56"/>
      <c r="D118" s="100" t="s">
        <v>200</v>
      </c>
      <c r="E118" s="272"/>
      <c r="F118" s="136"/>
      <c r="G118" s="158">
        <v>1.2647710775946337</v>
      </c>
      <c r="H118" s="158">
        <v>1.2647710775946337</v>
      </c>
      <c r="I118" s="158">
        <v>1.2647710775946337</v>
      </c>
      <c r="J118" s="158">
        <v>1.2647710775946337</v>
      </c>
      <c r="K118" s="158">
        <v>1.2647710775946337</v>
      </c>
      <c r="L118" s="158">
        <v>1.2647710775946337</v>
      </c>
      <c r="M118" s="158">
        <v>1.2647710775946337</v>
      </c>
      <c r="N118" s="158">
        <v>1.2647710775946337</v>
      </c>
      <c r="O118" s="158">
        <v>1.2647710775946337</v>
      </c>
      <c r="P118" s="158">
        <v>1.2647710775946337</v>
      </c>
      <c r="Q118" s="158">
        <v>1.2647710775946337</v>
      </c>
      <c r="R118" s="158">
        <v>1.2647710775946337</v>
      </c>
      <c r="S118" s="158">
        <v>1.2904052466033995</v>
      </c>
      <c r="T118" s="158">
        <v>1.2904052466033993</v>
      </c>
      <c r="U118" s="158">
        <v>1.2904052466033997</v>
      </c>
      <c r="V118" s="158">
        <v>1.2904052466033997</v>
      </c>
      <c r="W118" s="158">
        <v>1.2904052466033997</v>
      </c>
      <c r="X118" s="158">
        <v>1.2904052466033997</v>
      </c>
      <c r="Y118" s="158">
        <v>1.2904052466033995</v>
      </c>
      <c r="Z118" s="158">
        <v>1.2904052466033997</v>
      </c>
      <c r="AA118" s="158">
        <v>1.2904052466033995</v>
      </c>
      <c r="AB118" s="158">
        <v>1.2904052466033993</v>
      </c>
      <c r="AC118" s="158">
        <v>1.2904052466033993</v>
      </c>
      <c r="AD118" s="158">
        <v>1.2904052466033997</v>
      </c>
      <c r="AE118" s="158">
        <v>0.10539758979955283</v>
      </c>
      <c r="AF118" s="158">
        <v>0.10753377055028329</v>
      </c>
      <c r="AG118" s="158">
        <v>0.10289458513132456</v>
      </c>
      <c r="AH118" s="158">
        <v>9.8499222543152812E-2</v>
      </c>
      <c r="AI118" s="158">
        <v>9.2255434497227493E-2</v>
      </c>
      <c r="AJ118" s="158">
        <v>9.1793314262211878E-2</v>
      </c>
      <c r="AK118" s="158">
        <v>9.1344653839866674E-2</v>
      </c>
      <c r="AL118" s="158">
        <v>9.0909061196813037E-2</v>
      </c>
      <c r="AM118" s="158">
        <v>9.0486155718120201E-2</v>
      </c>
      <c r="AN118" s="158">
        <v>9.0075567874729104E-2</v>
      </c>
      <c r="AO118" s="272"/>
      <c r="AP118" s="272"/>
      <c r="AQ118" s="272"/>
      <c r="AR118" s="272"/>
      <c r="AS118" s="272"/>
    </row>
    <row r="119" spans="1:45" s="160" customFormat="1" ht="11.25" customHeight="1" x14ac:dyDescent="0.15">
      <c r="A119" s="56"/>
      <c r="B119" s="56"/>
      <c r="C119" s="56"/>
      <c r="D119" s="272"/>
      <c r="E119" s="272"/>
      <c r="F119" s="136"/>
      <c r="G119" s="272"/>
      <c r="H119" s="272"/>
      <c r="I119" s="272"/>
      <c r="J119" s="272"/>
      <c r="K119" s="272"/>
      <c r="L119" s="272"/>
      <c r="M119" s="272"/>
      <c r="N119" s="272"/>
      <c r="O119" s="272"/>
      <c r="P119" s="272"/>
      <c r="Q119" s="272"/>
      <c r="R119" s="272"/>
      <c r="S119" s="272"/>
      <c r="T119" s="285"/>
      <c r="U119" s="285"/>
      <c r="V119" s="285"/>
      <c r="W119" s="285"/>
      <c r="X119" s="285"/>
      <c r="Y119" s="285"/>
      <c r="Z119" s="285"/>
      <c r="AA119" s="285"/>
      <c r="AB119" s="285"/>
      <c r="AC119" s="285"/>
      <c r="AD119" s="272"/>
      <c r="AE119" s="272"/>
      <c r="AF119" s="272"/>
      <c r="AG119" s="272"/>
      <c r="AH119" s="272"/>
      <c r="AI119" s="272"/>
      <c r="AJ119" s="272"/>
      <c r="AK119" s="272"/>
      <c r="AL119" s="272"/>
      <c r="AM119" s="272"/>
      <c r="AN119" s="272"/>
      <c r="AO119" s="272"/>
      <c r="AP119" s="272"/>
      <c r="AQ119" s="272"/>
      <c r="AR119" s="272"/>
      <c r="AS119" s="272"/>
    </row>
    <row r="120" spans="1:45" s="160" customFormat="1" ht="11.25" customHeight="1" x14ac:dyDescent="0.15">
      <c r="A120" s="56"/>
      <c r="B120" s="56"/>
      <c r="C120" s="56"/>
      <c r="D120" s="272" t="s">
        <v>206</v>
      </c>
      <c r="E120" s="272"/>
      <c r="F120" s="136">
        <v>0</v>
      </c>
      <c r="G120" s="136">
        <v>-37.717729392517306</v>
      </c>
      <c r="H120" s="136">
        <v>-48.004382863203809</v>
      </c>
      <c r="I120" s="136">
        <v>-54.862151843661486</v>
      </c>
      <c r="J120" s="136">
        <v>-54.862151843661486</v>
      </c>
      <c r="K120" s="136">
        <v>-54.862151843661486</v>
      </c>
      <c r="L120" s="136">
        <v>-54.862151843661486</v>
      </c>
      <c r="M120" s="136">
        <v>-58.291036333890332</v>
      </c>
      <c r="N120" s="136">
        <v>-54.862151843661479</v>
      </c>
      <c r="O120" s="136">
        <v>-58.291036333890332</v>
      </c>
      <c r="P120" s="136">
        <v>-68.577689804576863</v>
      </c>
      <c r="Q120" s="136">
        <v>-68.577689804576863</v>
      </c>
      <c r="R120" s="136">
        <v>-72.006574294805716</v>
      </c>
      <c r="S120" s="136">
        <v>-132.46583586100616</v>
      </c>
      <c r="T120" s="136">
        <v>-168.59288200491679</v>
      </c>
      <c r="U120" s="136">
        <v>-192.67757943419062</v>
      </c>
      <c r="V120" s="136">
        <v>-192.67757943419062</v>
      </c>
      <c r="W120" s="136">
        <v>-192.67757943419062</v>
      </c>
      <c r="X120" s="136">
        <v>-192.67757943419062</v>
      </c>
      <c r="Y120" s="136">
        <v>-204.71992814882753</v>
      </c>
      <c r="Z120" s="136">
        <v>-192.67757943419062</v>
      </c>
      <c r="AA120" s="136">
        <v>-204.71992814882753</v>
      </c>
      <c r="AB120" s="136">
        <v>-240.84697429273822</v>
      </c>
      <c r="AC120" s="136">
        <v>-240.84697429273822</v>
      </c>
      <c r="AD120" s="136">
        <v>-252.8893230073752</v>
      </c>
      <c r="AE120" s="136">
        <v>-10.929160999915098</v>
      </c>
      <c r="AF120" s="136">
        <v>-38.804674586642676</v>
      </c>
      <c r="AG120" s="136">
        <v>-139.13582536608715</v>
      </c>
      <c r="AH120" s="136">
        <v>-295.16009603154089</v>
      </c>
      <c r="AI120" s="136">
        <v>-337.39259011880972</v>
      </c>
      <c r="AJ120" s="136">
        <v>-481.97078940056645</v>
      </c>
      <c r="AK120" s="136">
        <v>-618.36416718286728</v>
      </c>
      <c r="AL120" s="136">
        <v>-694.31553408514264</v>
      </c>
      <c r="AM120" s="136">
        <v>-779.73932605211485</v>
      </c>
      <c r="AN120" s="136">
        <v>-875.83246494406012</v>
      </c>
      <c r="AO120" s="272"/>
      <c r="AP120" s="272"/>
      <c r="AQ120" s="272"/>
      <c r="AR120" s="272"/>
      <c r="AS120" s="272"/>
    </row>
    <row r="121" spans="1:45" s="160" customFormat="1" ht="11.25" customHeight="1" x14ac:dyDescent="0.15">
      <c r="A121" s="56"/>
      <c r="B121" s="56"/>
      <c r="C121" s="56"/>
      <c r="D121" s="272" t="s">
        <v>207</v>
      </c>
      <c r="E121" s="272"/>
      <c r="F121" s="136"/>
      <c r="G121" s="289">
        <v>37.717729392517306</v>
      </c>
      <c r="H121" s="289">
        <v>10.286653470686502</v>
      </c>
      <c r="I121" s="289">
        <v>6.8577689804576778</v>
      </c>
      <c r="J121" s="289">
        <v>0</v>
      </c>
      <c r="K121" s="289">
        <v>0</v>
      </c>
      <c r="L121" s="289">
        <v>0</v>
      </c>
      <c r="M121" s="289">
        <v>3.428884490228846</v>
      </c>
      <c r="N121" s="289">
        <v>-3.4288844902288531</v>
      </c>
      <c r="O121" s="289">
        <v>3.4288844902288531</v>
      </c>
      <c r="P121" s="289">
        <v>10.286653470686531</v>
      </c>
      <c r="Q121" s="289">
        <v>0</v>
      </c>
      <c r="R121" s="289">
        <v>3.4288844902288531</v>
      </c>
      <c r="S121" s="289">
        <v>60.459261566200439</v>
      </c>
      <c r="T121" s="289">
        <v>36.127046143910633</v>
      </c>
      <c r="U121" s="289">
        <v>24.084697429273831</v>
      </c>
      <c r="V121" s="289">
        <v>0</v>
      </c>
      <c r="W121" s="289">
        <v>0</v>
      </c>
      <c r="X121" s="289">
        <v>0</v>
      </c>
      <c r="Y121" s="289">
        <v>12.042348714636915</v>
      </c>
      <c r="Z121" s="289">
        <v>-12.042348714636915</v>
      </c>
      <c r="AA121" s="289">
        <v>12.042348714636915</v>
      </c>
      <c r="AB121" s="289">
        <v>36.12704614391069</v>
      </c>
      <c r="AC121" s="289">
        <v>0</v>
      </c>
      <c r="AD121" s="289">
        <v>12.042348714636972</v>
      </c>
      <c r="AE121" s="289">
        <v>-10.929160999915098</v>
      </c>
      <c r="AF121" s="289">
        <v>-27.875513586727578</v>
      </c>
      <c r="AG121" s="289">
        <v>-100.33115077944447</v>
      </c>
      <c r="AH121" s="289">
        <v>-156.02427066545374</v>
      </c>
      <c r="AI121" s="289">
        <v>-42.232494087268833</v>
      </c>
      <c r="AJ121" s="289">
        <v>-144.57819928175672</v>
      </c>
      <c r="AK121" s="289">
        <v>-136.39337778230083</v>
      </c>
      <c r="AL121" s="289">
        <v>-75.951366902275367</v>
      </c>
      <c r="AM121" s="289">
        <v>-85.423791966972203</v>
      </c>
      <c r="AN121" s="289">
        <v>-96.093138891945273</v>
      </c>
      <c r="AO121" s="272"/>
      <c r="AP121" s="272"/>
      <c r="AQ121" s="272"/>
      <c r="AR121" s="272"/>
      <c r="AS121" s="272"/>
    </row>
    <row r="122" spans="1:45" s="160" customFormat="1" ht="11.25" customHeight="1" x14ac:dyDescent="0.15">
      <c r="A122" s="56"/>
      <c r="B122" s="56"/>
      <c r="C122" s="56"/>
      <c r="D122" s="272"/>
      <c r="E122" s="272"/>
      <c r="F122" s="136"/>
      <c r="G122" s="272"/>
      <c r="H122" s="272"/>
      <c r="I122" s="272"/>
      <c r="J122" s="272"/>
      <c r="K122" s="272"/>
      <c r="L122" s="272"/>
      <c r="M122" s="272"/>
      <c r="N122" s="272"/>
      <c r="O122" s="272"/>
      <c r="P122" s="272"/>
      <c r="Q122" s="272"/>
      <c r="R122" s="272"/>
      <c r="S122" s="272"/>
      <c r="T122" s="285"/>
      <c r="U122" s="285"/>
      <c r="V122" s="285"/>
      <c r="W122" s="285"/>
      <c r="X122" s="285"/>
      <c r="Y122" s="285"/>
      <c r="Z122" s="285"/>
      <c r="AA122" s="285"/>
      <c r="AB122" s="285"/>
      <c r="AC122" s="285"/>
      <c r="AD122" s="272"/>
      <c r="AE122" s="290"/>
      <c r="AF122" s="272"/>
      <c r="AG122" s="272"/>
      <c r="AH122" s="272"/>
      <c r="AI122" s="272"/>
      <c r="AJ122" s="272"/>
      <c r="AK122" s="272"/>
      <c r="AL122" s="272"/>
      <c r="AM122" s="272"/>
      <c r="AN122" s="272"/>
      <c r="AO122" s="272"/>
      <c r="AP122" s="272"/>
      <c r="AQ122" s="272"/>
      <c r="AR122" s="272"/>
      <c r="AS122" s="272"/>
    </row>
    <row r="123" spans="1:45" s="160" customFormat="1" ht="11.25" customHeight="1" x14ac:dyDescent="0.15">
      <c r="A123" s="56"/>
      <c r="B123" s="56"/>
      <c r="C123" s="56"/>
      <c r="D123" s="272" t="s">
        <v>208</v>
      </c>
      <c r="E123" s="272"/>
      <c r="F123" s="136"/>
      <c r="G123" s="272"/>
      <c r="H123" s="272"/>
      <c r="I123" s="272"/>
      <c r="J123" s="272"/>
      <c r="K123" s="272"/>
      <c r="L123" s="272"/>
      <c r="M123" s="272"/>
      <c r="N123" s="272"/>
      <c r="O123" s="272"/>
      <c r="P123" s="272"/>
      <c r="Q123" s="272"/>
      <c r="R123" s="272"/>
      <c r="S123" s="272"/>
      <c r="T123" s="285"/>
      <c r="U123" s="285"/>
      <c r="V123" s="285"/>
      <c r="W123" s="285"/>
      <c r="X123" s="285"/>
      <c r="Y123" s="285"/>
      <c r="Z123" s="285"/>
      <c r="AA123" s="285"/>
      <c r="AB123" s="285"/>
      <c r="AC123" s="285"/>
      <c r="AD123" s="272"/>
      <c r="AE123" s="272"/>
      <c r="AF123" s="272"/>
      <c r="AG123" s="272"/>
      <c r="AH123" s="272"/>
      <c r="AI123" s="272"/>
      <c r="AJ123" s="272"/>
      <c r="AK123" s="272"/>
      <c r="AL123" s="272"/>
      <c r="AM123" s="272"/>
      <c r="AN123" s="272"/>
      <c r="AO123" s="272"/>
      <c r="AP123" s="272"/>
      <c r="AQ123" s="272"/>
      <c r="AR123" s="272"/>
      <c r="AS123" s="272"/>
    </row>
    <row r="124" spans="1:45" s="160" customFormat="1" ht="11.25" customHeight="1" x14ac:dyDescent="0.15">
      <c r="A124" s="56"/>
      <c r="B124" s="56"/>
      <c r="C124" s="56"/>
      <c r="D124" s="272"/>
      <c r="E124" s="272"/>
      <c r="F124" s="136"/>
      <c r="G124" s="272"/>
      <c r="H124" s="272"/>
      <c r="I124" s="272"/>
      <c r="J124" s="272"/>
      <c r="K124" s="272"/>
      <c r="L124" s="272"/>
      <c r="M124" s="272"/>
      <c r="N124" s="272"/>
      <c r="O124" s="272"/>
      <c r="P124" s="272"/>
      <c r="Q124" s="272"/>
      <c r="R124" s="272"/>
      <c r="S124" s="272"/>
      <c r="T124" s="285"/>
      <c r="U124" s="285"/>
      <c r="V124" s="285"/>
      <c r="W124" s="285"/>
      <c r="X124" s="285"/>
      <c r="Y124" s="285"/>
      <c r="Z124" s="285"/>
      <c r="AA124" s="285"/>
      <c r="AB124" s="285"/>
      <c r="AC124" s="285"/>
      <c r="AD124" s="272"/>
      <c r="AE124" s="272"/>
      <c r="AF124" s="272"/>
      <c r="AG124" s="272"/>
      <c r="AH124" s="272"/>
      <c r="AI124" s="272"/>
      <c r="AJ124" s="272"/>
      <c r="AK124" s="272"/>
      <c r="AL124" s="272"/>
      <c r="AM124" s="272"/>
      <c r="AN124" s="272"/>
      <c r="AO124" s="272"/>
      <c r="AP124" s="272"/>
      <c r="AQ124" s="272"/>
      <c r="AR124" s="272"/>
      <c r="AS124" s="272"/>
    </row>
    <row r="125" spans="1:45" s="160" customFormat="1" ht="11.25" customHeight="1" x14ac:dyDescent="0.15">
      <c r="A125" s="56"/>
      <c r="B125" s="56"/>
      <c r="C125" s="56"/>
      <c r="D125" s="272" t="s">
        <v>209</v>
      </c>
      <c r="E125" s="272"/>
      <c r="F125" s="291">
        <v>17</v>
      </c>
      <c r="G125" s="292">
        <v>17</v>
      </c>
      <c r="H125" s="292">
        <v>17</v>
      </c>
      <c r="I125" s="292">
        <v>17</v>
      </c>
      <c r="J125" s="292">
        <v>17</v>
      </c>
      <c r="K125" s="292">
        <v>17</v>
      </c>
      <c r="L125" s="292">
        <v>17</v>
      </c>
      <c r="M125" s="292">
        <v>17</v>
      </c>
      <c r="N125" s="292">
        <v>17.608769646113874</v>
      </c>
      <c r="O125" s="292">
        <v>18.217539292227748</v>
      </c>
      <c r="P125" s="292">
        <v>18.826308938341622</v>
      </c>
      <c r="Q125" s="292">
        <v>19.435078584455496</v>
      </c>
      <c r="R125" s="292">
        <v>20.04384823056937</v>
      </c>
      <c r="S125" s="292">
        <v>20.652617876683244</v>
      </c>
      <c r="T125" s="292">
        <v>21.866006781623803</v>
      </c>
      <c r="U125" s="292">
        <v>23.079395686564361</v>
      </c>
      <c r="V125" s="292">
        <v>24.292784591504919</v>
      </c>
      <c r="W125" s="292">
        <v>25.506173496445477</v>
      </c>
      <c r="X125" s="292">
        <v>26.719562401386035</v>
      </c>
      <c r="Y125" s="292">
        <v>27.932951306326594</v>
      </c>
      <c r="Z125" s="292">
        <v>29.146340211267152</v>
      </c>
      <c r="AA125" s="292">
        <v>30.35972911620771</v>
      </c>
      <c r="AB125" s="292">
        <v>31.573118021148268</v>
      </c>
      <c r="AC125" s="292">
        <v>32.786506926088826</v>
      </c>
      <c r="AD125" s="292">
        <v>33.999895831029384</v>
      </c>
      <c r="AE125" s="136">
        <v>17</v>
      </c>
      <c r="AF125" s="136">
        <v>20.652617876683255</v>
      </c>
      <c r="AG125" s="136">
        <v>35.213284735969943</v>
      </c>
      <c r="AH125" s="136">
        <v>175.20240965944271</v>
      </c>
      <c r="AI125" s="136">
        <v>470.65340915011558</v>
      </c>
      <c r="AJ125" s="136">
        <v>778.94871859834575</v>
      </c>
      <c r="AK125" s="136">
        <v>1171.9137192867945</v>
      </c>
      <c r="AL125" s="136">
        <v>1593.4035861636928</v>
      </c>
      <c r="AM125" s="136">
        <v>1918.5549871346795</v>
      </c>
      <c r="AN125" s="136">
        <v>2134.5549062342675</v>
      </c>
      <c r="AO125" s="272"/>
      <c r="AP125" s="272"/>
      <c r="AQ125" s="272"/>
      <c r="AR125" s="272"/>
      <c r="AS125" s="272"/>
    </row>
    <row r="126" spans="1:45" s="160" customFormat="1" ht="11.25" customHeight="1" x14ac:dyDescent="0.15">
      <c r="A126" s="56"/>
      <c r="B126" s="56"/>
      <c r="C126" s="56" t="s">
        <v>210</v>
      </c>
      <c r="D126" s="272" t="s">
        <v>211</v>
      </c>
      <c r="E126" s="272"/>
      <c r="F126" s="284">
        <v>2.159815358911751E-2</v>
      </c>
      <c r="G126" s="292">
        <v>1.1754363127805421</v>
      </c>
      <c r="H126" s="292">
        <v>1.1754363127805421</v>
      </c>
      <c r="I126" s="292">
        <v>1.1754363127805421</v>
      </c>
      <c r="J126" s="292">
        <v>1.1754363127805421</v>
      </c>
      <c r="K126" s="292">
        <v>1.1754363127805421</v>
      </c>
      <c r="L126" s="292">
        <v>1.1754363127805421</v>
      </c>
      <c r="M126" s="292">
        <v>1.1754363127805421</v>
      </c>
      <c r="N126" s="292">
        <v>1.1754363127805421</v>
      </c>
      <c r="O126" s="292">
        <v>1.1754363127805421</v>
      </c>
      <c r="P126" s="292">
        <v>1.1754363127805421</v>
      </c>
      <c r="Q126" s="292">
        <v>1.1754363127805421</v>
      </c>
      <c r="R126" s="292">
        <v>1.1754363127805421</v>
      </c>
      <c r="S126" s="136">
        <v>2.0178323369399305</v>
      </c>
      <c r="T126" s="136">
        <v>2.0178323369399305</v>
      </c>
      <c r="U126" s="136">
        <v>2.0178323369399305</v>
      </c>
      <c r="V126" s="136">
        <v>2.0178323369399305</v>
      </c>
      <c r="W126" s="136">
        <v>2.0178323369399305</v>
      </c>
      <c r="X126" s="136">
        <v>2.0178323369399305</v>
      </c>
      <c r="Y126" s="136">
        <v>2.0178323369399305</v>
      </c>
      <c r="Z126" s="136">
        <v>2.0178323369399305</v>
      </c>
      <c r="AA126" s="136">
        <v>2.0178323369399305</v>
      </c>
      <c r="AB126" s="136">
        <v>2.0178323369399305</v>
      </c>
      <c r="AC126" s="136">
        <v>2.0178323369399305</v>
      </c>
      <c r="AD126" s="136">
        <v>2.0178323369399305</v>
      </c>
      <c r="AE126" s="293">
        <v>7.0526178766832528</v>
      </c>
      <c r="AF126" s="293">
        <v>24.213988043279166</v>
      </c>
      <c r="AG126" s="136">
        <v>187.05305763433157</v>
      </c>
      <c r="AH126" s="136">
        <v>428.14366525191457</v>
      </c>
      <c r="AI126" s="136">
        <v>551.23496901183989</v>
      </c>
      <c r="AJ126" s="136">
        <v>794.88082531507303</v>
      </c>
      <c r="AK126" s="136">
        <v>1029.2571143794032</v>
      </c>
      <c r="AL126" s="136">
        <v>1166.1483105918642</v>
      </c>
      <c r="AM126" s="136">
        <v>1321.246035900582</v>
      </c>
      <c r="AN126" s="136">
        <v>1496.9717586753598</v>
      </c>
      <c r="AO126" s="272"/>
      <c r="AQ126" s="272"/>
      <c r="AR126" s="272"/>
      <c r="AS126" s="272"/>
    </row>
    <row r="127" spans="1:45" s="160" customFormat="1" ht="11.25" customHeight="1" x14ac:dyDescent="0.15">
      <c r="A127" s="56"/>
      <c r="B127" s="56"/>
      <c r="C127" s="56"/>
      <c r="D127" s="272" t="s">
        <v>212</v>
      </c>
      <c r="E127" s="272"/>
      <c r="F127" s="136"/>
      <c r="G127" s="292">
        <v>0.56666666666666665</v>
      </c>
      <c r="H127" s="292">
        <v>0.56666666666666665</v>
      </c>
      <c r="I127" s="292">
        <v>0.56666666666666665</v>
      </c>
      <c r="J127" s="292">
        <v>0.56666666666666665</v>
      </c>
      <c r="K127" s="292">
        <v>0.56666666666666665</v>
      </c>
      <c r="L127" s="292">
        <v>0.56666666666666665</v>
      </c>
      <c r="M127" s="292">
        <v>0.56666666666666665</v>
      </c>
      <c r="N127" s="292">
        <v>0.56666666666666665</v>
      </c>
      <c r="O127" s="292">
        <v>0.56666666666666665</v>
      </c>
      <c r="P127" s="292">
        <v>0.56666666666666665</v>
      </c>
      <c r="Q127" s="292">
        <v>0.56666666666666665</v>
      </c>
      <c r="R127" s="292">
        <v>0.56666666666666665</v>
      </c>
      <c r="S127" s="136">
        <v>0.80444343199937363</v>
      </c>
      <c r="T127" s="136">
        <v>0.80444343199937363</v>
      </c>
      <c r="U127" s="136">
        <v>0.80444343199937363</v>
      </c>
      <c r="V127" s="136">
        <v>0.80444343199937363</v>
      </c>
      <c r="W127" s="136">
        <v>0.80444343199937363</v>
      </c>
      <c r="X127" s="136">
        <v>0.80444343199937363</v>
      </c>
      <c r="Y127" s="136">
        <v>0.80444343199937363</v>
      </c>
      <c r="Z127" s="136">
        <v>0.80444343199937363</v>
      </c>
      <c r="AA127" s="136">
        <v>0.80444343199937363</v>
      </c>
      <c r="AB127" s="136">
        <v>0.80444343199937363</v>
      </c>
      <c r="AC127" s="136">
        <v>0.80444343199937363</v>
      </c>
      <c r="AD127" s="136">
        <v>0.80444343199937363</v>
      </c>
      <c r="AE127" s="136">
        <v>3.4</v>
      </c>
      <c r="AF127" s="136">
        <v>9.6533211839924835</v>
      </c>
      <c r="AG127" s="136">
        <v>47.063932710858793</v>
      </c>
      <c r="AH127" s="136">
        <v>132.6926657612417</v>
      </c>
      <c r="AI127" s="136">
        <v>242.93965956360972</v>
      </c>
      <c r="AJ127" s="136">
        <v>401.91582462662433</v>
      </c>
      <c r="AK127" s="136">
        <v>607.76724750250492</v>
      </c>
      <c r="AL127" s="136">
        <v>840.99690962087766</v>
      </c>
      <c r="AM127" s="136">
        <v>1105.2461168009941</v>
      </c>
      <c r="AN127" s="136">
        <v>1404.640468536066</v>
      </c>
      <c r="AO127" s="272"/>
      <c r="AP127" s="272"/>
      <c r="AQ127" s="272"/>
      <c r="AR127" s="272"/>
      <c r="AS127" s="272"/>
    </row>
    <row r="128" spans="1:45" s="160" customFormat="1" ht="11.25" customHeight="1" x14ac:dyDescent="0.15">
      <c r="A128" s="56"/>
      <c r="B128" s="56"/>
      <c r="C128" s="56"/>
      <c r="D128" s="272" t="s">
        <v>213</v>
      </c>
      <c r="E128" s="272"/>
      <c r="F128" s="271">
        <v>17</v>
      </c>
      <c r="G128" s="271">
        <v>17.608769646113874</v>
      </c>
      <c r="H128" s="271">
        <v>17.608769646113874</v>
      </c>
      <c r="I128" s="271">
        <v>17.608769646113874</v>
      </c>
      <c r="J128" s="271">
        <v>17.608769646113874</v>
      </c>
      <c r="K128" s="271">
        <v>17.608769646113874</v>
      </c>
      <c r="L128" s="271">
        <v>17.608769646113874</v>
      </c>
      <c r="M128" s="271">
        <v>17.608769646113874</v>
      </c>
      <c r="N128" s="271">
        <v>18.217539292227748</v>
      </c>
      <c r="O128" s="271">
        <v>18.826308938341622</v>
      </c>
      <c r="P128" s="271">
        <v>19.435078584455496</v>
      </c>
      <c r="Q128" s="271">
        <v>20.04384823056937</v>
      </c>
      <c r="R128" s="271">
        <v>20.652617876683244</v>
      </c>
      <c r="S128" s="271">
        <v>21.866006781623803</v>
      </c>
      <c r="T128" s="271">
        <v>23.079395686564361</v>
      </c>
      <c r="U128" s="271">
        <v>24.292784591504919</v>
      </c>
      <c r="V128" s="271">
        <v>25.506173496445477</v>
      </c>
      <c r="W128" s="271">
        <v>26.719562401386035</v>
      </c>
      <c r="X128" s="271">
        <v>27.932951306326594</v>
      </c>
      <c r="Y128" s="271">
        <v>29.146340211267152</v>
      </c>
      <c r="Z128" s="271">
        <v>30.35972911620771</v>
      </c>
      <c r="AA128" s="271">
        <v>31.573118021148268</v>
      </c>
      <c r="AB128" s="271">
        <v>32.786506926088826</v>
      </c>
      <c r="AC128" s="271">
        <v>33.999895831029384</v>
      </c>
      <c r="AD128" s="271">
        <v>35.213284735969943</v>
      </c>
      <c r="AE128" s="271">
        <v>20.652617876683255</v>
      </c>
      <c r="AF128" s="271">
        <v>35.213284735969943</v>
      </c>
      <c r="AG128" s="271">
        <v>175.20240965944271</v>
      </c>
      <c r="AH128" s="271">
        <v>470.65340915011558</v>
      </c>
      <c r="AI128" s="271">
        <v>778.94871859834575</v>
      </c>
      <c r="AJ128" s="271">
        <v>1171.9137192867945</v>
      </c>
      <c r="AK128" s="271">
        <v>1593.4035861636928</v>
      </c>
      <c r="AL128" s="271">
        <v>1918.5549871346795</v>
      </c>
      <c r="AM128" s="271">
        <v>2134.5549062342675</v>
      </c>
      <c r="AN128" s="271">
        <v>2226.8861963735617</v>
      </c>
      <c r="AO128" s="272"/>
      <c r="AP128" s="272"/>
      <c r="AQ128" s="272"/>
      <c r="AR128" s="272"/>
      <c r="AS128" s="272"/>
    </row>
    <row r="129" spans="1:45" s="160" customFormat="1" ht="11.25" customHeight="1" x14ac:dyDescent="0.15">
      <c r="A129" s="56"/>
      <c r="B129" s="56"/>
      <c r="C129" s="56"/>
      <c r="D129" s="272"/>
      <c r="E129" s="272"/>
      <c r="F129" s="136"/>
      <c r="G129" s="272"/>
      <c r="H129" s="272"/>
      <c r="I129" s="272"/>
      <c r="J129" s="272"/>
      <c r="K129" s="272"/>
      <c r="L129" s="272"/>
      <c r="M129" s="272"/>
      <c r="N129" s="272"/>
      <c r="O129" s="272"/>
      <c r="P129" s="272"/>
      <c r="Q129" s="272"/>
      <c r="R129" s="272"/>
      <c r="S129" s="272"/>
      <c r="T129" s="285"/>
      <c r="U129" s="285"/>
      <c r="V129" s="285"/>
      <c r="W129" s="285"/>
      <c r="X129" s="285"/>
      <c r="Y129" s="285"/>
      <c r="Z129" s="285"/>
      <c r="AA129" s="285"/>
      <c r="AB129" s="285"/>
      <c r="AC129" s="285"/>
      <c r="AD129" s="272"/>
      <c r="AE129" s="272"/>
      <c r="AF129" s="272"/>
      <c r="AG129" s="272"/>
      <c r="AH129" s="272"/>
      <c r="AI129" s="272"/>
      <c r="AJ129" s="272"/>
      <c r="AK129" s="272"/>
      <c r="AL129" s="272"/>
      <c r="AM129" s="272"/>
      <c r="AN129" s="272"/>
      <c r="AO129" s="272"/>
      <c r="AP129" s="272"/>
      <c r="AQ129" s="272"/>
      <c r="AR129" s="272"/>
      <c r="AS129" s="272"/>
    </row>
    <row r="130" spans="1:45" s="160" customFormat="1" x14ac:dyDescent="0.15">
      <c r="A130" s="56"/>
      <c r="B130" s="56"/>
      <c r="C130" s="56" t="s">
        <v>214</v>
      </c>
      <c r="D130" s="272" t="s">
        <v>215</v>
      </c>
      <c r="E130" s="272"/>
      <c r="F130" s="294">
        <v>5</v>
      </c>
      <c r="G130" s="272"/>
      <c r="H130" s="272"/>
      <c r="I130" s="272"/>
      <c r="J130" s="272"/>
      <c r="K130" s="272"/>
      <c r="L130" s="272"/>
      <c r="M130" s="272"/>
      <c r="N130" s="272"/>
      <c r="O130" s="272"/>
      <c r="P130" s="272"/>
      <c r="Q130" s="272"/>
      <c r="R130" s="272"/>
      <c r="S130" s="272"/>
      <c r="T130" s="285"/>
      <c r="U130" s="285"/>
      <c r="V130" s="285"/>
      <c r="W130" s="285"/>
      <c r="X130" s="285"/>
      <c r="Y130" s="285"/>
      <c r="Z130" s="285"/>
      <c r="AA130" s="285"/>
      <c r="AB130" s="285"/>
      <c r="AC130" s="285"/>
      <c r="AD130" s="272"/>
      <c r="AE130" s="272"/>
      <c r="AF130" s="272"/>
      <c r="AG130" s="272"/>
      <c r="AH130" s="272"/>
      <c r="AI130" s="272"/>
      <c r="AJ130" s="272"/>
      <c r="AK130" s="272"/>
      <c r="AL130" s="272"/>
      <c r="AM130" s="272"/>
      <c r="AN130" s="272"/>
      <c r="AO130" s="272"/>
      <c r="AQ130" s="272"/>
      <c r="AR130" s="272"/>
      <c r="AS130" s="272"/>
    </row>
    <row r="131" spans="1:45" s="160" customFormat="1" x14ac:dyDescent="0.15">
      <c r="A131" s="56"/>
      <c r="B131" s="56"/>
      <c r="C131" s="56"/>
      <c r="D131" s="272"/>
      <c r="E131" s="272"/>
      <c r="F131" s="136"/>
      <c r="G131" s="272"/>
      <c r="H131" s="272"/>
      <c r="I131" s="272"/>
      <c r="J131" s="272"/>
      <c r="K131" s="272"/>
      <c r="L131" s="272"/>
      <c r="M131" s="272"/>
      <c r="N131" s="272"/>
      <c r="O131" s="272"/>
      <c r="P131" s="272"/>
      <c r="Q131" s="272"/>
      <c r="R131" s="272"/>
      <c r="S131" s="272"/>
      <c r="T131" s="285"/>
      <c r="U131" s="285"/>
      <c r="V131" s="285"/>
      <c r="W131" s="285"/>
      <c r="X131" s="285"/>
      <c r="Y131" s="285"/>
      <c r="Z131" s="285"/>
      <c r="AA131" s="285"/>
      <c r="AB131" s="285"/>
      <c r="AC131" s="285"/>
      <c r="AD131" s="272"/>
      <c r="AE131" s="272"/>
      <c r="AF131" s="272"/>
      <c r="AG131" s="272"/>
      <c r="AH131" s="272"/>
      <c r="AI131" s="272"/>
      <c r="AJ131" s="272"/>
      <c r="AK131" s="272"/>
      <c r="AL131" s="272"/>
      <c r="AM131" s="272"/>
      <c r="AN131" s="272"/>
      <c r="AO131" s="272"/>
      <c r="AP131" s="272"/>
      <c r="AQ131" s="272"/>
      <c r="AR131" s="272"/>
      <c r="AS131" s="272"/>
    </row>
    <row r="132" spans="1:45" s="160" customFormat="1" x14ac:dyDescent="0.15">
      <c r="A132" s="56"/>
      <c r="B132" s="56"/>
      <c r="C132" s="56"/>
      <c r="D132" s="272"/>
      <c r="E132" s="272"/>
      <c r="F132" s="136"/>
      <c r="G132" s="272"/>
      <c r="H132" s="272"/>
      <c r="I132" s="272"/>
      <c r="J132" s="272"/>
      <c r="K132" s="272"/>
      <c r="L132" s="272"/>
      <c r="M132" s="272"/>
      <c r="N132" s="272"/>
      <c r="O132" s="272"/>
      <c r="P132" s="272"/>
      <c r="Q132" s="272"/>
      <c r="R132" s="272"/>
      <c r="S132" s="272"/>
      <c r="T132" s="285"/>
      <c r="U132" s="285"/>
      <c r="V132" s="285"/>
      <c r="W132" s="285"/>
      <c r="X132" s="285"/>
      <c r="Y132" s="285"/>
      <c r="Z132" s="285"/>
      <c r="AA132" s="285"/>
      <c r="AB132" s="285"/>
      <c r="AC132" s="285"/>
      <c r="AD132" s="272"/>
      <c r="AE132" s="272"/>
      <c r="AF132" s="272"/>
      <c r="AG132" s="272"/>
      <c r="AH132" s="272"/>
      <c r="AI132" s="272"/>
      <c r="AJ132" s="272"/>
      <c r="AK132" s="272"/>
      <c r="AL132" s="272"/>
      <c r="AM132" s="272"/>
      <c r="AN132" s="272"/>
      <c r="AO132" s="272"/>
      <c r="AP132" s="272"/>
      <c r="AQ132" s="272"/>
      <c r="AR132" s="272"/>
      <c r="AS132" s="272"/>
    </row>
    <row r="133" spans="1:45" s="160" customFormat="1" x14ac:dyDescent="0.15">
      <c r="A133" s="56"/>
      <c r="B133" s="56"/>
      <c r="C133" s="56"/>
      <c r="D133" s="295"/>
      <c r="E133" s="296" t="s">
        <v>60</v>
      </c>
      <c r="F133" s="296" t="s">
        <v>61</v>
      </c>
      <c r="G133" s="272"/>
      <c r="H133" s="272"/>
      <c r="I133" s="272"/>
      <c r="J133" s="272"/>
      <c r="K133" s="272"/>
      <c r="L133" s="272"/>
      <c r="M133" s="272"/>
      <c r="N133" s="272"/>
      <c r="O133" s="272"/>
      <c r="P133" s="272"/>
      <c r="Q133" s="272"/>
      <c r="R133" s="272"/>
      <c r="S133" s="272"/>
      <c r="T133" s="285"/>
      <c r="U133" s="285"/>
      <c r="V133" s="285"/>
      <c r="W133" s="285"/>
      <c r="X133" s="285"/>
      <c r="Y133" s="285"/>
      <c r="Z133" s="285"/>
      <c r="AA133" s="285"/>
      <c r="AB133" s="285"/>
      <c r="AC133" s="285"/>
      <c r="AD133" s="272"/>
      <c r="AE133" s="272"/>
      <c r="AF133" s="272"/>
      <c r="AG133" s="272"/>
      <c r="AH133" s="272"/>
      <c r="AI133" s="272"/>
      <c r="AJ133" s="272"/>
      <c r="AK133" s="272"/>
      <c r="AL133" s="272"/>
      <c r="AM133" s="272"/>
      <c r="AN133" s="272"/>
      <c r="AO133" s="272"/>
      <c r="AP133" s="272"/>
      <c r="AQ133" s="272"/>
      <c r="AR133" s="272"/>
      <c r="AS133" s="272"/>
    </row>
    <row r="134" spans="1:45" s="160" customFormat="1" x14ac:dyDescent="0.15">
      <c r="A134" s="56"/>
      <c r="B134" s="56"/>
      <c r="C134" s="56"/>
      <c r="D134" s="295" t="s">
        <v>63</v>
      </c>
      <c r="E134" s="75">
        <v>0.16052487895553202</v>
      </c>
      <c r="F134" s="75">
        <v>0.56783618773888844</v>
      </c>
      <c r="G134" s="272"/>
      <c r="H134" s="272"/>
      <c r="I134" s="272"/>
      <c r="J134" s="272"/>
      <c r="K134" s="272"/>
      <c r="L134" s="272"/>
      <c r="M134" s="272"/>
      <c r="N134" s="272"/>
      <c r="O134" s="272"/>
      <c r="P134" s="272"/>
      <c r="Q134" s="272"/>
      <c r="R134" s="272"/>
      <c r="S134" s="272"/>
      <c r="T134" s="285"/>
      <c r="U134" s="285"/>
      <c r="V134" s="285"/>
      <c r="W134" s="285"/>
      <c r="X134" s="285"/>
      <c r="Y134" s="285"/>
      <c r="Z134" s="285"/>
      <c r="AA134" s="285"/>
      <c r="AB134" s="285"/>
      <c r="AC134" s="285"/>
      <c r="AD134" s="272"/>
      <c r="AE134" s="272"/>
      <c r="AF134" s="272"/>
      <c r="AG134" s="272"/>
      <c r="AH134" s="272"/>
      <c r="AI134" s="272"/>
      <c r="AJ134" s="272"/>
      <c r="AK134" s="272"/>
      <c r="AL134" s="272"/>
      <c r="AM134" s="272"/>
      <c r="AN134" s="272"/>
      <c r="AO134" s="272"/>
      <c r="AP134" s="272"/>
      <c r="AQ134" s="272"/>
      <c r="AR134" s="272"/>
      <c r="AS134" s="272"/>
    </row>
    <row r="135" spans="1:45" s="160" customFormat="1" x14ac:dyDescent="0.15">
      <c r="A135" s="56"/>
      <c r="B135" s="56"/>
      <c r="C135" s="56"/>
      <c r="D135" s="295" t="s">
        <v>65</v>
      </c>
      <c r="E135" s="297">
        <v>1.6204184312859662</v>
      </c>
      <c r="F135" s="297">
        <v>14.824793089802842</v>
      </c>
      <c r="G135" s="272"/>
      <c r="H135" s="272"/>
      <c r="I135" s="272"/>
      <c r="J135" s="272"/>
      <c r="K135" s="272"/>
      <c r="L135" s="272"/>
      <c r="M135" s="272"/>
      <c r="N135" s="272"/>
      <c r="O135" s="272"/>
      <c r="P135" s="272"/>
      <c r="Q135" s="272"/>
      <c r="R135" s="272"/>
      <c r="S135" s="272"/>
      <c r="T135" s="285"/>
      <c r="U135" s="285"/>
      <c r="V135" s="285"/>
      <c r="W135" s="285"/>
      <c r="X135" s="285"/>
      <c r="Y135" s="285"/>
      <c r="Z135" s="285"/>
      <c r="AA135" s="285"/>
      <c r="AB135" s="285"/>
      <c r="AC135" s="285"/>
      <c r="AD135" s="272"/>
      <c r="AE135" s="272"/>
      <c r="AF135" s="272"/>
      <c r="AG135" s="272"/>
      <c r="AH135" s="272"/>
      <c r="AI135" s="272"/>
      <c r="AJ135" s="272"/>
      <c r="AK135" s="272"/>
      <c r="AL135" s="272"/>
      <c r="AM135" s="272"/>
      <c r="AN135" s="272"/>
      <c r="AO135" s="272"/>
      <c r="AP135" s="272"/>
      <c r="AQ135" s="272"/>
      <c r="AR135" s="272"/>
      <c r="AS135" s="272"/>
    </row>
    <row r="136" spans="1:45" s="160" customFormat="1" x14ac:dyDescent="0.15">
      <c r="A136" s="56"/>
      <c r="B136" s="56"/>
      <c r="C136" s="56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  <c r="R136" s="192"/>
      <c r="S136" s="192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192"/>
      <c r="AE136" s="192"/>
      <c r="AF136" s="192"/>
      <c r="AG136" s="192"/>
      <c r="AH136" s="192"/>
      <c r="AI136" s="192"/>
      <c r="AJ136" s="192"/>
      <c r="AK136" s="192"/>
      <c r="AL136" s="192"/>
      <c r="AM136" s="192"/>
      <c r="AN136" s="192"/>
    </row>
    <row r="137" spans="1:45" s="160" customFormat="1" x14ac:dyDescent="0.15">
      <c r="A137" s="56"/>
      <c r="B137" s="56"/>
      <c r="C137" s="56"/>
      <c r="T137" s="299"/>
      <c r="U137" s="299"/>
      <c r="V137" s="299"/>
      <c r="W137" s="299"/>
      <c r="X137" s="299"/>
      <c r="Y137" s="299"/>
      <c r="Z137" s="299"/>
      <c r="AA137" s="299"/>
      <c r="AB137" s="299"/>
      <c r="AC137" s="299"/>
    </row>
    <row r="138" spans="1:45" s="160" customFormat="1" x14ac:dyDescent="0.15">
      <c r="A138" s="56"/>
      <c r="B138" s="56"/>
      <c r="C138" s="56"/>
      <c r="T138" s="299"/>
      <c r="U138" s="299"/>
      <c r="V138" s="299"/>
      <c r="W138" s="299"/>
      <c r="X138" s="299"/>
      <c r="Y138" s="299"/>
      <c r="Z138" s="299"/>
      <c r="AA138" s="299"/>
      <c r="AB138" s="299"/>
      <c r="AC138" s="299"/>
    </row>
    <row r="139" spans="1:45" s="160" customFormat="1" x14ac:dyDescent="0.15">
      <c r="A139" s="56"/>
      <c r="B139" s="56"/>
      <c r="C139" s="56" t="s">
        <v>216</v>
      </c>
      <c r="T139" s="299"/>
      <c r="U139" s="299"/>
      <c r="V139" s="299"/>
      <c r="W139" s="299"/>
      <c r="X139" s="299"/>
      <c r="Y139" s="299"/>
      <c r="Z139" s="299"/>
      <c r="AA139" s="299"/>
      <c r="AB139" s="299"/>
      <c r="AC139" s="299"/>
    </row>
    <row r="140" spans="1:45" s="160" customFormat="1" x14ac:dyDescent="0.15">
      <c r="A140" s="56"/>
      <c r="B140" s="56"/>
      <c r="C140" s="56"/>
      <c r="T140" s="299"/>
      <c r="U140" s="299"/>
      <c r="V140" s="299"/>
      <c r="W140" s="299"/>
      <c r="X140" s="299"/>
      <c r="Y140" s="299"/>
      <c r="Z140" s="299"/>
      <c r="AA140" s="299"/>
      <c r="AB140" s="299"/>
      <c r="AC140" s="299"/>
    </row>
    <row r="141" spans="1:45" s="160" customFormat="1" x14ac:dyDescent="0.15">
      <c r="A141" s="56"/>
      <c r="B141" s="56"/>
      <c r="C141" s="1"/>
      <c r="D141" s="26" t="s">
        <v>217</v>
      </c>
      <c r="E141" s="300"/>
      <c r="F141" s="300"/>
      <c r="G141" s="301"/>
      <c r="H141" s="301"/>
      <c r="I141" s="301"/>
      <c r="J141" s="301"/>
      <c r="K141" s="301"/>
      <c r="L141" s="301"/>
      <c r="M141" s="301"/>
      <c r="N141" s="301"/>
      <c r="O141" s="301"/>
      <c r="P141" s="301"/>
      <c r="Q141" s="301"/>
      <c r="R141" s="301"/>
      <c r="S141" s="301"/>
      <c r="T141" s="302"/>
      <c r="U141" s="302"/>
      <c r="V141" s="302"/>
      <c r="W141" s="302"/>
      <c r="X141" s="302"/>
      <c r="Y141" s="302"/>
      <c r="Z141" s="302"/>
      <c r="AA141" s="302"/>
      <c r="AB141" s="302"/>
      <c r="AC141" s="302"/>
      <c r="AD141" s="301"/>
      <c r="AE141" s="300"/>
      <c r="AF141" s="303"/>
      <c r="AG141" s="303"/>
      <c r="AH141" s="303"/>
      <c r="AI141" s="303"/>
      <c r="AK141" s="26" t="s">
        <v>218</v>
      </c>
      <c r="AL141" s="300"/>
      <c r="AM141" s="303"/>
      <c r="AN141" s="303"/>
    </row>
    <row r="142" spans="1:45" s="160" customFormat="1" x14ac:dyDescent="0.15">
      <c r="A142" s="56"/>
      <c r="B142" s="56"/>
      <c r="C142" s="7" t="s">
        <v>87</v>
      </c>
      <c r="D142" s="100" t="s">
        <v>219</v>
      </c>
      <c r="E142" s="100"/>
      <c r="F142" s="100"/>
      <c r="G142" s="100"/>
      <c r="H142" s="100"/>
      <c r="I142" s="304"/>
      <c r="J142" s="304"/>
      <c r="K142" s="304"/>
      <c r="L142" s="304"/>
      <c r="M142" s="304"/>
      <c r="N142" s="304"/>
      <c r="O142" s="304"/>
      <c r="P142" s="304"/>
      <c r="Q142" s="304"/>
      <c r="R142" s="304"/>
      <c r="S142" s="304"/>
      <c r="T142" s="305"/>
      <c r="U142" s="305"/>
      <c r="V142" s="305"/>
      <c r="W142" s="305"/>
      <c r="X142" s="305"/>
      <c r="Y142" s="305"/>
      <c r="Z142" s="305"/>
      <c r="AA142" s="305"/>
      <c r="AB142" s="305"/>
      <c r="AC142" s="305"/>
      <c r="AD142" s="304"/>
      <c r="AE142" s="304"/>
      <c r="AK142" s="100" t="s">
        <v>220</v>
      </c>
      <c r="AL142" s="304"/>
    </row>
    <row r="143" spans="1:45" s="160" customFormat="1" x14ac:dyDescent="0.15">
      <c r="A143" s="56"/>
      <c r="B143" s="56"/>
      <c r="C143" s="7" t="s">
        <v>89</v>
      </c>
      <c r="D143" s="18" t="s">
        <v>221</v>
      </c>
      <c r="E143" s="304"/>
      <c r="F143" s="304"/>
      <c r="G143" s="304"/>
      <c r="H143" s="304"/>
      <c r="I143" s="304"/>
      <c r="J143" s="304"/>
      <c r="K143" s="304"/>
      <c r="L143" s="304"/>
      <c r="M143" s="304"/>
      <c r="N143" s="304"/>
      <c r="O143" s="304"/>
      <c r="P143" s="304"/>
      <c r="Q143" s="304"/>
      <c r="R143" s="304"/>
      <c r="S143" s="304"/>
      <c r="T143" s="305"/>
      <c r="U143" s="305"/>
      <c r="V143" s="305"/>
      <c r="W143" s="305"/>
      <c r="X143" s="305"/>
      <c r="Y143" s="305"/>
      <c r="Z143" s="305"/>
      <c r="AA143" s="305"/>
      <c r="AB143" s="305"/>
      <c r="AC143" s="305"/>
      <c r="AD143" s="304"/>
      <c r="AE143" s="304"/>
      <c r="AK143" s="306" t="s">
        <v>222</v>
      </c>
      <c r="AL143" s="306"/>
    </row>
    <row r="144" spans="1:45" s="160" customFormat="1" x14ac:dyDescent="0.15">
      <c r="A144" s="56"/>
      <c r="B144" s="56"/>
      <c r="C144" s="7" t="s">
        <v>91</v>
      </c>
      <c r="D144" s="307" t="s">
        <v>223</v>
      </c>
      <c r="E144" s="304"/>
      <c r="F144" s="304"/>
      <c r="G144" s="304"/>
      <c r="H144" s="304"/>
      <c r="I144" s="304"/>
      <c r="J144" s="304"/>
      <c r="K144" s="304"/>
      <c r="L144" s="304"/>
      <c r="M144" s="304"/>
      <c r="N144" s="304"/>
      <c r="O144" s="304"/>
      <c r="P144" s="304"/>
      <c r="Q144" s="304"/>
      <c r="R144" s="304"/>
      <c r="S144" s="304"/>
      <c r="T144" s="305"/>
      <c r="U144" s="305"/>
      <c r="V144" s="305"/>
      <c r="W144" s="305"/>
      <c r="X144" s="305"/>
      <c r="Y144" s="305"/>
      <c r="Z144" s="305"/>
      <c r="AA144" s="305"/>
      <c r="AB144" s="305"/>
      <c r="AC144" s="305"/>
      <c r="AD144" s="304"/>
      <c r="AE144" s="304"/>
      <c r="AK144" s="100" t="s">
        <v>224</v>
      </c>
      <c r="AL144" s="306"/>
    </row>
    <row r="145" spans="1:55" s="160" customFormat="1" x14ac:dyDescent="0.15">
      <c r="A145" s="56"/>
      <c r="B145" s="56"/>
      <c r="C145" s="7" t="s">
        <v>94</v>
      </c>
      <c r="D145" s="18" t="s">
        <v>225</v>
      </c>
      <c r="T145" s="299"/>
      <c r="U145" s="299"/>
      <c r="V145" s="299"/>
      <c r="W145" s="299"/>
      <c r="X145" s="299"/>
      <c r="Y145" s="299"/>
      <c r="Z145" s="299"/>
      <c r="AA145" s="299"/>
      <c r="AB145" s="299"/>
      <c r="AC145" s="299"/>
      <c r="AK145" s="160" t="s">
        <v>226</v>
      </c>
      <c r="AL145" s="306"/>
    </row>
    <row r="146" spans="1:55" s="160" customFormat="1" x14ac:dyDescent="0.15">
      <c r="A146" s="56"/>
      <c r="B146" s="56"/>
    </row>
    <row r="147" spans="1:55" s="160" customFormat="1" x14ac:dyDescent="0.15">
      <c r="A147" s="56"/>
      <c r="B147" s="56"/>
      <c r="C147" s="56" t="s">
        <v>227</v>
      </c>
      <c r="T147" s="299"/>
      <c r="U147" s="299"/>
      <c r="V147" s="299"/>
      <c r="W147" s="299"/>
      <c r="X147" s="299"/>
      <c r="Y147" s="299"/>
      <c r="Z147" s="299"/>
      <c r="AA147" s="299"/>
      <c r="AB147" s="299"/>
      <c r="AC147" s="299"/>
    </row>
    <row r="148" spans="1:55" s="160" customFormat="1" x14ac:dyDescent="0.15">
      <c r="A148" s="56"/>
      <c r="B148" s="56"/>
      <c r="C148" s="56"/>
      <c r="T148" s="299"/>
      <c r="U148" s="299"/>
      <c r="V148" s="299"/>
      <c r="W148" s="299"/>
      <c r="X148" s="299"/>
      <c r="Y148" s="299"/>
      <c r="Z148" s="299"/>
      <c r="AA148" s="299"/>
      <c r="AB148" s="299"/>
      <c r="AC148" s="299"/>
    </row>
    <row r="149" spans="1:55" s="160" customFormat="1" x14ac:dyDescent="0.15">
      <c r="A149" s="56"/>
      <c r="B149" s="56"/>
      <c r="C149" s="1"/>
      <c r="D149" s="26" t="s">
        <v>217</v>
      </c>
      <c r="E149" s="300"/>
      <c r="F149" s="300"/>
      <c r="G149" s="301"/>
      <c r="H149" s="301"/>
      <c r="I149" s="301"/>
      <c r="J149" s="301"/>
      <c r="K149" s="301"/>
      <c r="L149" s="301"/>
      <c r="M149" s="301"/>
      <c r="N149" s="301"/>
      <c r="O149" s="301"/>
      <c r="P149" s="301"/>
      <c r="Q149" s="301"/>
      <c r="R149" s="301"/>
      <c r="S149" s="301"/>
      <c r="T149" s="302"/>
      <c r="U149" s="302"/>
      <c r="V149" s="302"/>
      <c r="W149" s="302"/>
      <c r="X149" s="302"/>
      <c r="Y149" s="302"/>
      <c r="Z149" s="302"/>
      <c r="AA149" s="302"/>
      <c r="AB149" s="302"/>
      <c r="AC149" s="302"/>
      <c r="AD149" s="301"/>
      <c r="AE149" s="300"/>
      <c r="AF149" s="303"/>
      <c r="AG149" s="303"/>
      <c r="AH149" s="303"/>
      <c r="AI149" s="303"/>
      <c r="AK149" s="26" t="s">
        <v>218</v>
      </c>
      <c r="AL149" s="300"/>
      <c r="AM149" s="303"/>
      <c r="AN149" s="303"/>
    </row>
    <row r="150" spans="1:55" s="160" customFormat="1" x14ac:dyDescent="0.15">
      <c r="A150" s="56"/>
      <c r="B150" s="56"/>
      <c r="C150" s="7" t="s">
        <v>131</v>
      </c>
      <c r="D150" s="160" t="s">
        <v>228</v>
      </c>
      <c r="E150" s="304"/>
      <c r="F150" s="304"/>
      <c r="G150" s="304"/>
      <c r="H150" s="304"/>
      <c r="I150" s="304"/>
      <c r="J150" s="304"/>
      <c r="K150" s="304"/>
      <c r="L150" s="304"/>
      <c r="M150" s="304"/>
      <c r="N150" s="304"/>
      <c r="O150" s="304"/>
      <c r="P150" s="304"/>
      <c r="Q150" s="304"/>
      <c r="R150" s="304"/>
      <c r="S150" s="304"/>
      <c r="T150" s="305"/>
      <c r="U150" s="305"/>
      <c r="V150" s="305"/>
      <c r="W150" s="305"/>
      <c r="X150" s="305"/>
      <c r="Y150" s="305"/>
      <c r="Z150" s="305"/>
      <c r="AA150" s="305"/>
      <c r="AB150" s="305"/>
      <c r="AC150" s="305"/>
      <c r="AD150" s="304"/>
      <c r="AE150" s="304"/>
      <c r="AK150" s="39" t="s">
        <v>229</v>
      </c>
      <c r="AL150" s="308"/>
      <c r="BB150" s="100"/>
      <c r="BC150" s="304"/>
    </row>
    <row r="151" spans="1:55" s="160" customFormat="1" x14ac:dyDescent="0.15">
      <c r="A151" s="56"/>
      <c r="B151" s="56"/>
      <c r="C151" s="7" t="s">
        <v>139</v>
      </c>
      <c r="D151" s="100" t="s">
        <v>230</v>
      </c>
      <c r="E151" s="210"/>
      <c r="F151" s="210"/>
      <c r="G151" s="210"/>
      <c r="H151" s="210"/>
      <c r="I151" s="210"/>
      <c r="J151" s="210"/>
      <c r="K151" s="210"/>
      <c r="L151" s="210"/>
      <c r="M151" s="210"/>
      <c r="N151" s="210"/>
      <c r="O151" s="210"/>
      <c r="P151" s="210"/>
      <c r="Q151" s="210"/>
      <c r="R151" s="210"/>
      <c r="S151" s="210"/>
      <c r="T151" s="309"/>
      <c r="U151" s="309"/>
      <c r="V151" s="309"/>
      <c r="W151" s="309"/>
      <c r="X151" s="309"/>
      <c r="Y151" s="309"/>
      <c r="Z151" s="309"/>
      <c r="AA151" s="309"/>
      <c r="AB151" s="309"/>
      <c r="AC151" s="309"/>
      <c r="AD151" s="210"/>
      <c r="AE151" s="210"/>
      <c r="AI151" s="272"/>
      <c r="AJ151" s="272"/>
      <c r="AK151" s="202" t="s">
        <v>231</v>
      </c>
      <c r="AL151" s="36"/>
      <c r="AM151" s="272"/>
      <c r="BB151" s="306"/>
      <c r="BC151" s="306"/>
    </row>
    <row r="152" spans="1:55" s="160" customFormat="1" x14ac:dyDescent="0.15">
      <c r="A152" s="56"/>
      <c r="B152" s="56"/>
      <c r="C152" s="7" t="s">
        <v>141</v>
      </c>
      <c r="D152" s="100" t="s">
        <v>232</v>
      </c>
      <c r="E152" s="202"/>
      <c r="F152" s="202"/>
      <c r="G152" s="202"/>
      <c r="H152" s="202"/>
      <c r="I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  <c r="T152" s="275"/>
      <c r="U152" s="275"/>
      <c r="V152" s="275"/>
      <c r="W152" s="275"/>
      <c r="X152" s="275"/>
      <c r="Y152" s="275"/>
      <c r="Z152" s="275"/>
      <c r="AA152" s="275"/>
      <c r="AB152" s="275"/>
      <c r="AC152" s="275"/>
      <c r="AD152" s="202"/>
      <c r="AE152" s="202"/>
      <c r="AI152" s="272"/>
      <c r="AJ152" s="272"/>
      <c r="AK152" s="18" t="s">
        <v>233</v>
      </c>
      <c r="AL152" s="307"/>
      <c r="AM152" s="272"/>
      <c r="AN152" s="272"/>
      <c r="AO152" s="272"/>
      <c r="AP152" s="272"/>
      <c r="AQ152" s="272"/>
      <c r="AR152" s="272"/>
      <c r="AS152" s="272"/>
      <c r="AT152" s="272"/>
      <c r="AU152" s="272"/>
      <c r="AV152" s="272"/>
      <c r="AW152" s="272"/>
      <c r="AX152" s="272"/>
      <c r="AY152" s="272"/>
      <c r="AZ152" s="272"/>
      <c r="BA152" s="272"/>
      <c r="BB152" s="272"/>
      <c r="BC152" s="306"/>
    </row>
    <row r="153" spans="1:55" s="160" customFormat="1" x14ac:dyDescent="0.15">
      <c r="A153" s="56"/>
      <c r="B153" s="56"/>
      <c r="C153" s="7" t="s">
        <v>145</v>
      </c>
      <c r="D153" s="100" t="s">
        <v>234</v>
      </c>
      <c r="E153" s="202"/>
      <c r="F153" s="202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75"/>
      <c r="U153" s="275"/>
      <c r="V153" s="275"/>
      <c r="W153" s="275"/>
      <c r="X153" s="275"/>
      <c r="Y153" s="275"/>
      <c r="Z153" s="275"/>
      <c r="AA153" s="275"/>
      <c r="AB153" s="275"/>
      <c r="AC153" s="275"/>
      <c r="AD153" s="202"/>
      <c r="AE153" s="202"/>
      <c r="AI153" s="272"/>
      <c r="AJ153" s="272"/>
      <c r="AK153" s="100" t="s">
        <v>235</v>
      </c>
      <c r="AL153" s="1"/>
      <c r="AM153" s="272"/>
      <c r="AN153" s="272"/>
      <c r="AO153" s="272"/>
      <c r="AP153" s="272"/>
      <c r="AQ153" s="272"/>
      <c r="AR153" s="272"/>
      <c r="AS153" s="272"/>
      <c r="AT153" s="272"/>
      <c r="AU153" s="272"/>
      <c r="AV153" s="272"/>
      <c r="AW153" s="272"/>
      <c r="AX153" s="272"/>
      <c r="AY153" s="272"/>
      <c r="AZ153" s="272"/>
      <c r="BA153" s="272"/>
      <c r="BB153" s="100"/>
    </row>
    <row r="154" spans="1:55" s="160" customFormat="1" x14ac:dyDescent="0.15">
      <c r="A154" s="56"/>
      <c r="B154" s="56"/>
      <c r="C154" s="7" t="s">
        <v>148</v>
      </c>
      <c r="D154" s="100" t="s">
        <v>236</v>
      </c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75"/>
      <c r="U154" s="275"/>
      <c r="V154" s="275"/>
      <c r="W154" s="275"/>
      <c r="X154" s="275"/>
      <c r="Y154" s="275"/>
      <c r="Z154" s="275"/>
      <c r="AA154" s="275"/>
      <c r="AB154" s="275"/>
      <c r="AC154" s="275"/>
      <c r="AD154" s="202"/>
      <c r="AE154" s="202"/>
      <c r="AI154" s="272"/>
      <c r="AJ154" s="272"/>
      <c r="AK154" s="100" t="s">
        <v>237</v>
      </c>
      <c r="AL154" s="1"/>
      <c r="AM154" s="272"/>
      <c r="AN154" s="272"/>
      <c r="AO154" s="272"/>
      <c r="AP154" s="272"/>
      <c r="AQ154" s="272"/>
      <c r="AR154" s="272"/>
      <c r="AS154" s="272"/>
      <c r="AT154" s="272"/>
      <c r="AU154" s="272"/>
      <c r="AV154" s="272"/>
      <c r="AW154" s="272"/>
      <c r="AX154" s="272"/>
      <c r="AY154" s="272"/>
      <c r="AZ154" s="272"/>
      <c r="BA154" s="272"/>
      <c r="BB154" s="272"/>
      <c r="BC154" s="310"/>
    </row>
    <row r="155" spans="1:55" s="160" customFormat="1" x14ac:dyDescent="0.15">
      <c r="A155" s="56"/>
      <c r="B155" s="56"/>
      <c r="C155" s="7" t="s">
        <v>152</v>
      </c>
      <c r="D155" s="100" t="s">
        <v>238</v>
      </c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75"/>
      <c r="U155" s="275"/>
      <c r="V155" s="275"/>
      <c r="W155" s="275"/>
      <c r="X155" s="275"/>
      <c r="Y155" s="275"/>
      <c r="Z155" s="275"/>
      <c r="AA155" s="275"/>
      <c r="AB155" s="275"/>
      <c r="AC155" s="275"/>
      <c r="AD155" s="202"/>
      <c r="AE155" s="202"/>
      <c r="AI155" s="272"/>
      <c r="AJ155" s="272"/>
      <c r="AK155" s="202" t="s">
        <v>239</v>
      </c>
      <c r="AL155" s="307"/>
      <c r="AM155" s="272"/>
      <c r="AN155" s="272"/>
      <c r="AO155" s="272"/>
      <c r="AP155" s="272"/>
      <c r="AQ155" s="272"/>
      <c r="AR155" s="272"/>
      <c r="AS155" s="272"/>
      <c r="AT155" s="272"/>
      <c r="AU155" s="272"/>
      <c r="AV155" s="272"/>
      <c r="AW155" s="272"/>
      <c r="AX155" s="272"/>
      <c r="AY155" s="272"/>
      <c r="AZ155" s="272"/>
      <c r="BA155" s="272"/>
      <c r="BB155" s="202"/>
      <c r="BC155" s="36"/>
    </row>
    <row r="156" spans="1:55" s="160" customFormat="1" x14ac:dyDescent="0.15">
      <c r="A156" s="56"/>
      <c r="B156" s="56"/>
      <c r="C156" s="7" t="s">
        <v>154</v>
      </c>
      <c r="D156" s="100" t="s">
        <v>240</v>
      </c>
      <c r="E156" s="202"/>
      <c r="F156" s="202"/>
      <c r="G156" s="202"/>
      <c r="H156" s="202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  <c r="T156" s="275"/>
      <c r="U156" s="275"/>
      <c r="V156" s="275"/>
      <c r="W156" s="275"/>
      <c r="X156" s="275"/>
      <c r="Y156" s="275"/>
      <c r="Z156" s="275"/>
      <c r="AA156" s="275"/>
      <c r="AB156" s="275"/>
      <c r="AC156" s="275"/>
      <c r="AD156" s="202"/>
      <c r="AE156" s="202"/>
      <c r="AF156" s="202"/>
      <c r="AG156" s="1"/>
      <c r="AH156" s="272"/>
      <c r="AI156" s="272"/>
      <c r="AJ156" s="272"/>
      <c r="AK156" s="202" t="s">
        <v>231</v>
      </c>
      <c r="AL156" s="272"/>
      <c r="AM156" s="272"/>
      <c r="AN156" s="272"/>
      <c r="AO156" s="272"/>
      <c r="AP156" s="272"/>
      <c r="AQ156" s="272"/>
      <c r="AR156" s="272"/>
      <c r="AS156" s="272"/>
      <c r="AT156" s="272"/>
      <c r="AU156" s="272"/>
      <c r="AV156" s="272"/>
      <c r="AW156" s="272"/>
      <c r="AX156" s="272"/>
      <c r="AY156" s="272"/>
      <c r="AZ156" s="272"/>
      <c r="BA156" s="272"/>
      <c r="BB156" s="100"/>
      <c r="BC156" s="1"/>
    </row>
    <row r="157" spans="1:55" s="160" customFormat="1" x14ac:dyDescent="0.15">
      <c r="A157" s="56"/>
      <c r="B157" s="56"/>
      <c r="C157" s="7" t="s">
        <v>162</v>
      </c>
      <c r="D157" s="100" t="s">
        <v>241</v>
      </c>
      <c r="E157" s="202"/>
      <c r="F157" s="202"/>
      <c r="G157" s="202"/>
      <c r="H157" s="202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  <c r="T157" s="275"/>
      <c r="U157" s="275"/>
      <c r="V157" s="275"/>
      <c r="W157" s="275"/>
      <c r="X157" s="275"/>
      <c r="Y157" s="275"/>
      <c r="Z157" s="275"/>
      <c r="AA157" s="275"/>
      <c r="AB157" s="275"/>
      <c r="AC157" s="275"/>
      <c r="AD157" s="202"/>
      <c r="AE157" s="202"/>
      <c r="AF157" s="202"/>
      <c r="AG157" s="1"/>
      <c r="AH157" s="272"/>
      <c r="AI157" s="272"/>
      <c r="AJ157" s="272"/>
      <c r="AK157" s="272" t="s">
        <v>242</v>
      </c>
      <c r="AL157" s="272"/>
      <c r="AM157" s="272"/>
      <c r="AN157" s="272"/>
      <c r="AO157" s="272"/>
      <c r="AP157" s="272"/>
      <c r="AQ157" s="272"/>
      <c r="AR157" s="272"/>
      <c r="AS157" s="272"/>
      <c r="AT157" s="272"/>
      <c r="AU157" s="272"/>
      <c r="AV157" s="272"/>
      <c r="AW157" s="272"/>
      <c r="AX157" s="272"/>
      <c r="AY157" s="272"/>
      <c r="AZ157" s="272"/>
      <c r="BA157" s="272"/>
      <c r="BB157" s="100"/>
      <c r="BC157" s="1"/>
    </row>
    <row r="158" spans="1:55" s="160" customFormat="1" x14ac:dyDescent="0.15">
      <c r="A158" s="56"/>
      <c r="B158" s="56"/>
      <c r="C158" s="7" t="s">
        <v>164</v>
      </c>
      <c r="D158" s="100" t="s">
        <v>243</v>
      </c>
      <c r="E158" s="202"/>
      <c r="F158" s="202"/>
      <c r="G158" s="202"/>
      <c r="H158" s="202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  <c r="S158" s="202"/>
      <c r="T158" s="275"/>
      <c r="U158" s="275"/>
      <c r="V158" s="275"/>
      <c r="W158" s="275"/>
      <c r="X158" s="275"/>
      <c r="Y158" s="275"/>
      <c r="Z158" s="275"/>
      <c r="AA158" s="275"/>
      <c r="AB158" s="275"/>
      <c r="AC158" s="275"/>
      <c r="AD158" s="202"/>
      <c r="AE158" s="202"/>
      <c r="AF158" s="202"/>
      <c r="AG158" s="1"/>
      <c r="AH158" s="272"/>
      <c r="AI158" s="272"/>
      <c r="AJ158" s="272"/>
      <c r="AK158" s="272" t="s">
        <v>244</v>
      </c>
      <c r="AL158" s="272"/>
      <c r="AM158" s="272"/>
      <c r="AN158" s="272"/>
      <c r="AO158" s="272"/>
      <c r="AP158" s="272"/>
      <c r="AQ158" s="272"/>
      <c r="AR158" s="272"/>
      <c r="AS158" s="272"/>
      <c r="AT158" s="272"/>
      <c r="AU158" s="272"/>
      <c r="AV158" s="272"/>
      <c r="AW158" s="272"/>
      <c r="AX158" s="272"/>
      <c r="AY158" s="272"/>
      <c r="AZ158" s="272"/>
      <c r="BA158" s="272"/>
      <c r="BB158" s="100"/>
      <c r="BC158" s="1"/>
    </row>
    <row r="159" spans="1:55" s="160" customFormat="1" x14ac:dyDescent="0.15">
      <c r="A159" s="56"/>
      <c r="B159" s="56"/>
      <c r="C159" s="56" t="s">
        <v>166</v>
      </c>
      <c r="D159" s="160" t="s">
        <v>245</v>
      </c>
      <c r="T159" s="299"/>
      <c r="U159" s="299"/>
      <c r="V159" s="299"/>
      <c r="W159" s="299"/>
      <c r="X159" s="299"/>
      <c r="Y159" s="299"/>
      <c r="Z159" s="299"/>
      <c r="AA159" s="299"/>
      <c r="AB159" s="299"/>
      <c r="AC159" s="299"/>
      <c r="AK159" s="100" t="s">
        <v>246</v>
      </c>
      <c r="AN159" s="272"/>
      <c r="AO159" s="272"/>
      <c r="AP159" s="272"/>
      <c r="AQ159" s="272"/>
      <c r="AR159" s="272"/>
      <c r="AS159" s="272"/>
      <c r="AT159" s="272"/>
      <c r="AU159" s="272"/>
      <c r="AV159" s="272"/>
      <c r="AW159" s="272"/>
      <c r="AX159" s="272"/>
      <c r="AY159" s="272"/>
      <c r="AZ159" s="272"/>
      <c r="BA159" s="272"/>
      <c r="BB159" s="202"/>
      <c r="BC159" s="1"/>
    </row>
    <row r="160" spans="1:55" s="160" customFormat="1" x14ac:dyDescent="0.15">
      <c r="A160" s="56"/>
      <c r="B160" s="56"/>
      <c r="C160" s="7" t="s">
        <v>168</v>
      </c>
      <c r="D160" s="202" t="s">
        <v>247</v>
      </c>
      <c r="E160" s="202"/>
      <c r="F160" s="202"/>
      <c r="G160" s="202"/>
      <c r="H160" s="202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02"/>
      <c r="T160" s="275"/>
      <c r="U160" s="275"/>
      <c r="V160" s="275"/>
      <c r="W160" s="275"/>
      <c r="X160" s="275"/>
      <c r="Y160" s="275"/>
      <c r="Z160" s="275"/>
      <c r="AA160" s="275"/>
      <c r="AB160" s="275"/>
      <c r="AC160" s="275"/>
      <c r="AD160" s="202"/>
      <c r="AE160" s="202"/>
      <c r="AF160" s="272"/>
      <c r="AG160" s="272"/>
      <c r="AH160" s="272"/>
      <c r="AI160" s="272"/>
      <c r="AJ160" s="272"/>
      <c r="AK160" s="39" t="s">
        <v>248</v>
      </c>
      <c r="AL160" s="272"/>
      <c r="AM160" s="272"/>
      <c r="AN160" s="272"/>
      <c r="AO160" s="272"/>
      <c r="AP160" s="272"/>
      <c r="AQ160" s="272"/>
      <c r="AR160" s="272"/>
      <c r="AS160" s="272"/>
      <c r="AT160" s="272"/>
      <c r="AU160" s="272"/>
      <c r="AV160" s="272"/>
      <c r="AW160" s="272"/>
      <c r="AX160" s="272"/>
      <c r="AY160" s="272"/>
      <c r="AZ160" s="272"/>
      <c r="BA160" s="272"/>
      <c r="BB160" s="202"/>
      <c r="BC160" s="1"/>
    </row>
    <row r="161" spans="1:37" s="160" customFormat="1" x14ac:dyDescent="0.15">
      <c r="A161" s="56"/>
      <c r="B161" s="56"/>
      <c r="C161" s="7" t="s">
        <v>170</v>
      </c>
      <c r="D161" s="18" t="s">
        <v>249</v>
      </c>
      <c r="T161" s="299"/>
      <c r="U161" s="299"/>
      <c r="V161" s="299"/>
      <c r="W161" s="299"/>
      <c r="X161" s="299"/>
      <c r="Y161" s="299"/>
      <c r="Z161" s="299"/>
      <c r="AA161" s="299"/>
      <c r="AB161" s="299"/>
      <c r="AC161" s="299"/>
      <c r="AK161" s="160" t="s">
        <v>250</v>
      </c>
    </row>
    <row r="162" spans="1:37" s="160" customFormat="1" x14ac:dyDescent="0.15">
      <c r="A162" s="56"/>
      <c r="B162" s="56"/>
      <c r="C162" s="7" t="s">
        <v>172</v>
      </c>
      <c r="D162" s="160" t="s">
        <v>251</v>
      </c>
      <c r="T162" s="299"/>
      <c r="U162" s="299"/>
      <c r="V162" s="299"/>
      <c r="W162" s="299"/>
      <c r="X162" s="299"/>
      <c r="Y162" s="299"/>
      <c r="Z162" s="299"/>
      <c r="AA162" s="299"/>
      <c r="AB162" s="299"/>
      <c r="AC162" s="299"/>
      <c r="AK162" s="100" t="s">
        <v>252</v>
      </c>
    </row>
    <row r="163" spans="1:37" s="160" customFormat="1" x14ac:dyDescent="0.15">
      <c r="A163" s="56"/>
      <c r="B163" s="56"/>
      <c r="C163" s="7" t="s">
        <v>179</v>
      </c>
      <c r="D163" s="39" t="s">
        <v>253</v>
      </c>
      <c r="T163" s="299"/>
      <c r="U163" s="299"/>
      <c r="V163" s="299"/>
      <c r="W163" s="299"/>
      <c r="X163" s="299"/>
      <c r="Y163" s="299"/>
      <c r="Z163" s="299"/>
      <c r="AA163" s="299"/>
      <c r="AB163" s="299"/>
      <c r="AC163" s="299"/>
      <c r="AK163" s="39" t="s">
        <v>248</v>
      </c>
    </row>
    <row r="164" spans="1:37" s="160" customFormat="1" x14ac:dyDescent="0.15">
      <c r="A164" s="56"/>
      <c r="B164" s="56"/>
      <c r="C164" s="7" t="s">
        <v>186</v>
      </c>
      <c r="D164" s="255" t="s">
        <v>254</v>
      </c>
      <c r="T164" s="299"/>
      <c r="U164" s="299"/>
      <c r="V164" s="299"/>
      <c r="W164" s="299"/>
      <c r="X164" s="299"/>
      <c r="Y164" s="299"/>
      <c r="Z164" s="299"/>
      <c r="AA164" s="299"/>
      <c r="AB164" s="299"/>
      <c r="AC164" s="299"/>
      <c r="AK164" s="160" t="s">
        <v>255</v>
      </c>
    </row>
    <row r="165" spans="1:37" s="160" customFormat="1" x14ac:dyDescent="0.15">
      <c r="A165" s="56"/>
      <c r="B165" s="56"/>
      <c r="C165" s="56" t="s">
        <v>191</v>
      </c>
      <c r="D165" s="100" t="s">
        <v>256</v>
      </c>
      <c r="T165" s="299"/>
      <c r="U165" s="299"/>
      <c r="V165" s="299"/>
      <c r="W165" s="299"/>
      <c r="X165" s="299"/>
      <c r="Y165" s="299"/>
      <c r="Z165" s="299"/>
      <c r="AA165" s="299"/>
      <c r="AB165" s="299"/>
      <c r="AC165" s="299"/>
      <c r="AK165" s="160" t="s">
        <v>255</v>
      </c>
    </row>
    <row r="166" spans="1:37" s="160" customFormat="1" x14ac:dyDescent="0.15">
      <c r="A166" s="56"/>
      <c r="B166" s="56"/>
      <c r="C166" s="7" t="s">
        <v>210</v>
      </c>
      <c r="D166" s="160" t="s">
        <v>257</v>
      </c>
      <c r="T166" s="299"/>
      <c r="U166" s="299"/>
      <c r="V166" s="299"/>
      <c r="W166" s="299"/>
      <c r="X166" s="299"/>
      <c r="Y166" s="299"/>
      <c r="Z166" s="299"/>
      <c r="AA166" s="299"/>
      <c r="AB166" s="299"/>
      <c r="AC166" s="299"/>
      <c r="AK166" s="160" t="s">
        <v>255</v>
      </c>
    </row>
    <row r="167" spans="1:37" s="160" customFormat="1" x14ac:dyDescent="0.15">
      <c r="A167" s="56"/>
      <c r="B167" s="56"/>
      <c r="C167" s="7" t="s">
        <v>214</v>
      </c>
      <c r="D167" s="100" t="s">
        <v>258</v>
      </c>
      <c r="T167" s="299"/>
      <c r="U167" s="299"/>
      <c r="V167" s="299"/>
      <c r="W167" s="299"/>
      <c r="X167" s="299"/>
      <c r="Y167" s="299"/>
      <c r="Z167" s="299"/>
      <c r="AA167" s="299"/>
      <c r="AB167" s="299"/>
      <c r="AC167" s="299"/>
      <c r="AK167" s="160" t="s">
        <v>259</v>
      </c>
    </row>
    <row r="168" spans="1:37" s="160" customFormat="1" x14ac:dyDescent="0.15">
      <c r="A168" s="56"/>
      <c r="B168" s="56"/>
      <c r="C168" s="56"/>
      <c r="T168" s="299"/>
      <c r="U168" s="299"/>
      <c r="V168" s="299"/>
      <c r="W168" s="299"/>
      <c r="X168" s="299"/>
      <c r="Y168" s="299"/>
      <c r="Z168" s="299"/>
      <c r="AA168" s="299"/>
      <c r="AB168" s="299"/>
      <c r="AC168" s="299"/>
    </row>
    <row r="169" spans="1:37" s="160" customFormat="1" x14ac:dyDescent="0.15">
      <c r="A169" s="56"/>
      <c r="B169" s="56"/>
      <c r="C169" s="56"/>
      <c r="T169" s="299"/>
      <c r="U169" s="299"/>
      <c r="V169" s="299"/>
      <c r="W169" s="299"/>
      <c r="X169" s="299"/>
      <c r="Y169" s="299"/>
      <c r="Z169" s="299"/>
      <c r="AA169" s="299"/>
      <c r="AB169" s="299"/>
      <c r="AC169" s="299"/>
    </row>
    <row r="170" spans="1:37" s="160" customFormat="1" x14ac:dyDescent="0.15">
      <c r="A170" s="56"/>
      <c r="B170" s="56"/>
      <c r="C170" s="56"/>
      <c r="T170" s="299"/>
      <c r="U170" s="299"/>
      <c r="V170" s="299"/>
      <c r="W170" s="299"/>
      <c r="X170" s="299"/>
      <c r="Y170" s="299"/>
      <c r="Z170" s="299"/>
      <c r="AA170" s="299"/>
      <c r="AB170" s="299"/>
      <c r="AC170" s="299"/>
    </row>
    <row r="171" spans="1:37" s="160" customFormat="1" x14ac:dyDescent="0.15">
      <c r="A171" s="56"/>
      <c r="B171" s="56"/>
      <c r="C171" s="56"/>
      <c r="T171" s="299"/>
      <c r="U171" s="299"/>
      <c r="V171" s="299"/>
      <c r="W171" s="299"/>
      <c r="X171" s="299"/>
      <c r="Y171" s="299"/>
      <c r="Z171" s="299"/>
      <c r="AA171" s="299"/>
      <c r="AB171" s="299"/>
      <c r="AC171" s="299"/>
    </row>
    <row r="172" spans="1:37" s="160" customFormat="1" x14ac:dyDescent="0.15">
      <c r="A172" s="56"/>
      <c r="B172" s="56"/>
      <c r="C172" s="56"/>
      <c r="T172" s="299"/>
      <c r="U172" s="299"/>
      <c r="V172" s="299"/>
      <c r="W172" s="299"/>
      <c r="X172" s="299"/>
      <c r="Y172" s="299"/>
      <c r="Z172" s="299"/>
      <c r="AA172" s="299"/>
      <c r="AB172" s="299"/>
      <c r="AC172" s="299"/>
    </row>
    <row r="173" spans="1:37" s="160" customFormat="1" x14ac:dyDescent="0.15">
      <c r="A173" s="56"/>
      <c r="B173" s="56"/>
      <c r="C173" s="56"/>
      <c r="T173" s="299"/>
      <c r="U173" s="299"/>
      <c r="V173" s="299"/>
      <c r="W173" s="299"/>
      <c r="X173" s="299"/>
      <c r="Y173" s="299"/>
      <c r="Z173" s="299"/>
      <c r="AA173" s="299"/>
      <c r="AB173" s="299"/>
      <c r="AC173" s="299"/>
    </row>
    <row r="174" spans="1:37" s="160" customFormat="1" x14ac:dyDescent="0.15">
      <c r="A174" s="56"/>
      <c r="B174" s="56"/>
      <c r="C174" s="56"/>
      <c r="T174" s="299"/>
      <c r="U174" s="299"/>
      <c r="V174" s="299"/>
      <c r="W174" s="299"/>
      <c r="X174" s="299"/>
      <c r="Y174" s="299"/>
      <c r="Z174" s="299"/>
      <c r="AA174" s="299"/>
      <c r="AB174" s="299"/>
      <c r="AC174" s="299"/>
    </row>
    <row r="175" spans="1:37" s="160" customFormat="1" x14ac:dyDescent="0.15">
      <c r="A175" s="56"/>
      <c r="B175" s="56"/>
      <c r="C175" s="56"/>
      <c r="T175" s="299"/>
      <c r="U175" s="299"/>
      <c r="V175" s="299"/>
      <c r="W175" s="299"/>
      <c r="X175" s="299"/>
      <c r="Y175" s="299"/>
      <c r="Z175" s="299"/>
      <c r="AA175" s="299"/>
      <c r="AB175" s="299"/>
      <c r="AC175" s="299"/>
    </row>
    <row r="176" spans="1:37" s="160" customFormat="1" x14ac:dyDescent="0.15">
      <c r="A176" s="56"/>
      <c r="B176" s="56"/>
      <c r="C176" s="56"/>
      <c r="T176" s="299"/>
      <c r="U176" s="299"/>
      <c r="V176" s="299"/>
      <c r="W176" s="299"/>
      <c r="X176" s="299"/>
      <c r="Y176" s="299"/>
      <c r="Z176" s="299"/>
      <c r="AA176" s="299"/>
      <c r="AB176" s="299"/>
      <c r="AC176" s="299"/>
    </row>
    <row r="177" spans="1:29" s="160" customFormat="1" x14ac:dyDescent="0.15">
      <c r="A177" s="56"/>
      <c r="B177" s="56"/>
      <c r="C177" s="56"/>
      <c r="T177" s="299"/>
      <c r="U177" s="299"/>
      <c r="V177" s="299"/>
      <c r="W177" s="299"/>
      <c r="X177" s="299"/>
      <c r="Y177" s="299"/>
      <c r="Z177" s="299"/>
      <c r="AA177" s="299"/>
      <c r="AB177" s="299"/>
      <c r="AC177" s="299"/>
    </row>
    <row r="178" spans="1:29" s="160" customFormat="1" x14ac:dyDescent="0.15">
      <c r="A178" s="56"/>
      <c r="B178" s="56"/>
      <c r="C178" s="56"/>
      <c r="T178" s="299"/>
      <c r="U178" s="299"/>
      <c r="V178" s="299"/>
      <c r="W178" s="299"/>
      <c r="X178" s="299"/>
      <c r="Y178" s="299"/>
      <c r="Z178" s="299"/>
      <c r="AA178" s="299"/>
      <c r="AB178" s="299"/>
      <c r="AC178" s="299"/>
    </row>
    <row r="179" spans="1:29" s="160" customFormat="1" x14ac:dyDescent="0.15">
      <c r="A179" s="56"/>
      <c r="B179" s="56"/>
      <c r="C179" s="56"/>
      <c r="T179" s="299"/>
      <c r="U179" s="299"/>
      <c r="V179" s="299"/>
      <c r="W179" s="299"/>
      <c r="X179" s="299"/>
      <c r="Y179" s="299"/>
      <c r="Z179" s="299"/>
      <c r="AA179" s="299"/>
      <c r="AB179" s="299"/>
      <c r="AC179" s="299"/>
    </row>
    <row r="180" spans="1:29" s="160" customFormat="1" x14ac:dyDescent="0.15">
      <c r="A180" s="56"/>
      <c r="B180" s="56"/>
      <c r="C180" s="56"/>
      <c r="T180" s="299"/>
      <c r="U180" s="299"/>
      <c r="V180" s="299"/>
      <c r="W180" s="299"/>
      <c r="X180" s="299"/>
      <c r="Y180" s="299"/>
      <c r="Z180" s="299"/>
      <c r="AA180" s="299"/>
      <c r="AB180" s="299"/>
      <c r="AC180" s="299"/>
    </row>
    <row r="181" spans="1:29" s="160" customFormat="1" x14ac:dyDescent="0.15">
      <c r="A181" s="56"/>
      <c r="B181" s="56"/>
      <c r="C181" s="56"/>
      <c r="T181" s="299"/>
      <c r="U181" s="299"/>
      <c r="V181" s="299"/>
      <c r="W181" s="299"/>
      <c r="X181" s="299"/>
      <c r="Y181" s="299"/>
      <c r="Z181" s="299"/>
      <c r="AA181" s="299"/>
      <c r="AB181" s="299"/>
      <c r="AC181" s="299"/>
    </row>
    <row r="182" spans="1:29" s="160" customFormat="1" x14ac:dyDescent="0.15">
      <c r="A182" s="56"/>
      <c r="B182" s="56"/>
      <c r="C182" s="56"/>
      <c r="T182" s="299"/>
      <c r="U182" s="299"/>
      <c r="V182" s="299"/>
      <c r="W182" s="299"/>
      <c r="X182" s="299"/>
      <c r="Y182" s="299"/>
      <c r="Z182" s="299"/>
      <c r="AA182" s="299"/>
      <c r="AB182" s="299"/>
      <c r="AC182" s="299"/>
    </row>
    <row r="183" spans="1:29" s="160" customFormat="1" x14ac:dyDescent="0.15">
      <c r="A183" s="56"/>
      <c r="B183" s="56"/>
      <c r="C183" s="56"/>
      <c r="T183" s="299"/>
      <c r="U183" s="299"/>
      <c r="V183" s="299"/>
      <c r="W183" s="299"/>
      <c r="X183" s="299"/>
      <c r="Y183" s="299"/>
      <c r="Z183" s="299"/>
      <c r="AA183" s="299"/>
      <c r="AB183" s="299"/>
      <c r="AC183" s="299"/>
    </row>
    <row r="184" spans="1:29" s="160" customFormat="1" x14ac:dyDescent="0.15">
      <c r="A184" s="56"/>
      <c r="B184" s="56"/>
      <c r="C184" s="56"/>
      <c r="T184" s="299"/>
      <c r="U184" s="299"/>
      <c r="V184" s="299"/>
      <c r="W184" s="299"/>
      <c r="X184" s="299"/>
      <c r="Y184" s="299"/>
      <c r="Z184" s="299"/>
      <c r="AA184" s="299"/>
      <c r="AB184" s="299"/>
      <c r="AC184" s="299"/>
    </row>
    <row r="185" spans="1:29" s="160" customFormat="1" x14ac:dyDescent="0.15">
      <c r="A185" s="56"/>
      <c r="B185" s="56"/>
      <c r="C185" s="56"/>
      <c r="T185" s="299"/>
      <c r="U185" s="299"/>
      <c r="V185" s="299"/>
      <c r="W185" s="299"/>
      <c r="X185" s="299"/>
      <c r="Y185" s="299"/>
      <c r="Z185" s="299"/>
      <c r="AA185" s="299"/>
      <c r="AB185" s="299"/>
      <c r="AC185" s="299"/>
    </row>
    <row r="186" spans="1:29" s="160" customFormat="1" x14ac:dyDescent="0.15">
      <c r="A186" s="56"/>
      <c r="B186" s="56"/>
      <c r="C186" s="56"/>
      <c r="T186" s="299"/>
      <c r="U186" s="299"/>
      <c r="V186" s="299"/>
      <c r="W186" s="299"/>
      <c r="X186" s="299"/>
      <c r="Y186" s="299"/>
      <c r="Z186" s="299"/>
      <c r="AA186" s="299"/>
      <c r="AB186" s="299"/>
      <c r="AC186" s="299"/>
    </row>
    <row r="187" spans="1:29" s="160" customFormat="1" x14ac:dyDescent="0.15">
      <c r="A187" s="56"/>
      <c r="B187" s="56"/>
      <c r="C187" s="56"/>
      <c r="T187" s="299"/>
      <c r="U187" s="299"/>
      <c r="V187" s="299"/>
      <c r="W187" s="299"/>
      <c r="X187" s="299"/>
      <c r="Y187" s="299"/>
      <c r="Z187" s="299"/>
      <c r="AA187" s="299"/>
      <c r="AB187" s="299"/>
      <c r="AC187" s="299"/>
    </row>
    <row r="188" spans="1:29" s="160" customFormat="1" x14ac:dyDescent="0.15">
      <c r="A188" s="56"/>
      <c r="B188" s="56"/>
      <c r="C188" s="56"/>
      <c r="T188" s="299"/>
      <c r="U188" s="299"/>
      <c r="V188" s="299"/>
      <c r="W188" s="299"/>
      <c r="X188" s="299"/>
      <c r="Y188" s="299"/>
      <c r="Z188" s="299"/>
      <c r="AA188" s="299"/>
      <c r="AB188" s="299"/>
      <c r="AC188" s="299"/>
    </row>
    <row r="189" spans="1:29" s="160" customFormat="1" x14ac:dyDescent="0.15">
      <c r="A189" s="56"/>
      <c r="B189" s="56"/>
      <c r="C189" s="56"/>
      <c r="T189" s="299"/>
      <c r="U189" s="299"/>
      <c r="V189" s="299"/>
      <c r="W189" s="299"/>
      <c r="X189" s="299"/>
      <c r="Y189" s="299"/>
      <c r="Z189" s="299"/>
      <c r="AA189" s="299"/>
      <c r="AB189" s="299"/>
      <c r="AC189" s="299"/>
    </row>
    <row r="190" spans="1:29" s="160" customFormat="1" x14ac:dyDescent="0.15">
      <c r="A190" s="56"/>
      <c r="B190" s="56"/>
      <c r="C190" s="56"/>
      <c r="T190" s="299"/>
      <c r="U190" s="299"/>
      <c r="V190" s="299"/>
      <c r="W190" s="299"/>
      <c r="X190" s="299"/>
      <c r="Y190" s="299"/>
      <c r="Z190" s="299"/>
      <c r="AA190" s="299"/>
      <c r="AB190" s="299"/>
      <c r="AC190" s="299"/>
    </row>
    <row r="191" spans="1:29" s="160" customFormat="1" x14ac:dyDescent="0.15">
      <c r="A191" s="56"/>
      <c r="B191" s="56"/>
      <c r="C191" s="56"/>
      <c r="T191" s="299"/>
      <c r="U191" s="299"/>
      <c r="V191" s="299"/>
      <c r="W191" s="299"/>
      <c r="X191" s="299"/>
      <c r="Y191" s="299"/>
      <c r="Z191" s="299"/>
      <c r="AA191" s="299"/>
      <c r="AB191" s="299"/>
      <c r="AC191" s="299"/>
    </row>
    <row r="192" spans="1:29" s="160" customFormat="1" x14ac:dyDescent="0.15">
      <c r="A192" s="56"/>
      <c r="B192" s="56"/>
      <c r="C192" s="56"/>
      <c r="T192" s="299"/>
      <c r="U192" s="299"/>
      <c r="V192" s="299"/>
      <c r="W192" s="299"/>
      <c r="X192" s="299"/>
      <c r="Y192" s="299"/>
      <c r="Z192" s="299"/>
      <c r="AA192" s="299"/>
      <c r="AB192" s="299"/>
      <c r="AC192" s="299"/>
    </row>
    <row r="193" spans="1:29" s="160" customFormat="1" x14ac:dyDescent="0.15">
      <c r="A193" s="56"/>
      <c r="B193" s="56"/>
      <c r="C193" s="56"/>
      <c r="T193" s="299"/>
      <c r="U193" s="299"/>
      <c r="V193" s="299"/>
      <c r="W193" s="299"/>
      <c r="X193" s="299"/>
      <c r="Y193" s="299"/>
      <c r="Z193" s="299"/>
      <c r="AA193" s="299"/>
      <c r="AB193" s="299"/>
      <c r="AC193" s="299"/>
    </row>
    <row r="194" spans="1:29" s="160" customFormat="1" x14ac:dyDescent="0.15">
      <c r="A194" s="56"/>
      <c r="B194" s="56"/>
      <c r="C194" s="56"/>
      <c r="T194" s="299"/>
      <c r="U194" s="299"/>
      <c r="V194" s="299"/>
      <c r="W194" s="299"/>
      <c r="X194" s="299"/>
      <c r="Y194" s="299"/>
      <c r="Z194" s="299"/>
      <c r="AA194" s="299"/>
      <c r="AB194" s="299"/>
      <c r="AC194" s="299"/>
    </row>
    <row r="195" spans="1:29" s="160" customFormat="1" x14ac:dyDescent="0.15">
      <c r="A195" s="56"/>
      <c r="B195" s="56"/>
      <c r="C195" s="56"/>
      <c r="T195" s="299"/>
      <c r="U195" s="299"/>
      <c r="V195" s="299"/>
      <c r="W195" s="299"/>
      <c r="X195" s="299"/>
      <c r="Y195" s="299"/>
      <c r="Z195" s="299"/>
      <c r="AA195" s="299"/>
      <c r="AB195" s="299"/>
      <c r="AC195" s="299"/>
    </row>
    <row r="196" spans="1:29" s="160" customFormat="1" x14ac:dyDescent="0.15">
      <c r="A196" s="56"/>
      <c r="B196" s="56"/>
      <c r="C196" s="56"/>
      <c r="T196" s="299"/>
      <c r="U196" s="299"/>
      <c r="V196" s="299"/>
      <c r="W196" s="299"/>
      <c r="X196" s="299"/>
      <c r="Y196" s="299"/>
      <c r="Z196" s="299"/>
      <c r="AA196" s="299"/>
      <c r="AB196" s="299"/>
      <c r="AC196" s="299"/>
    </row>
    <row r="197" spans="1:29" s="160" customFormat="1" x14ac:dyDescent="0.15">
      <c r="A197" s="56"/>
      <c r="B197" s="56"/>
      <c r="C197" s="56"/>
      <c r="T197" s="299"/>
      <c r="U197" s="299"/>
      <c r="V197" s="299"/>
      <c r="W197" s="299"/>
      <c r="X197" s="299"/>
      <c r="Y197" s="299"/>
      <c r="Z197" s="299"/>
      <c r="AA197" s="299"/>
      <c r="AB197" s="299"/>
      <c r="AC197" s="299"/>
    </row>
    <row r="198" spans="1:29" s="160" customFormat="1" x14ac:dyDescent="0.15">
      <c r="A198" s="56"/>
      <c r="B198" s="56"/>
      <c r="C198" s="56"/>
      <c r="T198" s="299"/>
      <c r="U198" s="299"/>
      <c r="V198" s="299"/>
      <c r="W198" s="299"/>
      <c r="X198" s="299"/>
      <c r="Y198" s="299"/>
      <c r="Z198" s="299"/>
      <c r="AA198" s="299"/>
      <c r="AB198" s="299"/>
      <c r="AC198" s="299"/>
    </row>
    <row r="199" spans="1:29" s="160" customFormat="1" x14ac:dyDescent="0.15">
      <c r="A199" s="56"/>
      <c r="B199" s="56"/>
      <c r="C199" s="56"/>
      <c r="T199" s="299"/>
      <c r="U199" s="299"/>
      <c r="V199" s="299"/>
      <c r="W199" s="299"/>
      <c r="X199" s="299"/>
      <c r="Y199" s="299"/>
      <c r="Z199" s="299"/>
      <c r="AA199" s="299"/>
      <c r="AB199" s="299"/>
      <c r="AC199" s="299"/>
    </row>
    <row r="200" spans="1:29" s="160" customFormat="1" x14ac:dyDescent="0.15">
      <c r="A200" s="56"/>
      <c r="B200" s="56"/>
      <c r="C200" s="56"/>
      <c r="T200" s="299"/>
      <c r="U200" s="299"/>
      <c r="V200" s="299"/>
      <c r="W200" s="299"/>
      <c r="X200" s="299"/>
      <c r="Y200" s="299"/>
      <c r="Z200" s="299"/>
      <c r="AA200" s="299"/>
      <c r="AB200" s="299"/>
      <c r="AC200" s="299"/>
    </row>
    <row r="201" spans="1:29" s="160" customFormat="1" x14ac:dyDescent="0.15">
      <c r="A201" s="56"/>
      <c r="B201" s="56"/>
      <c r="C201" s="56"/>
      <c r="T201" s="299"/>
      <c r="U201" s="299"/>
      <c r="V201" s="299"/>
      <c r="W201" s="299"/>
      <c r="X201" s="299"/>
      <c r="Y201" s="299"/>
      <c r="Z201" s="299"/>
      <c r="AA201" s="299"/>
      <c r="AB201" s="299"/>
      <c r="AC201" s="299"/>
    </row>
    <row r="202" spans="1:29" s="160" customFormat="1" x14ac:dyDescent="0.15">
      <c r="A202" s="56"/>
      <c r="B202" s="56"/>
      <c r="C202" s="56"/>
      <c r="T202" s="299"/>
      <c r="U202" s="299"/>
      <c r="V202" s="299"/>
      <c r="W202" s="299"/>
      <c r="X202" s="299"/>
      <c r="Y202" s="299"/>
      <c r="Z202" s="299"/>
      <c r="AA202" s="299"/>
      <c r="AB202" s="299"/>
      <c r="AC202" s="299"/>
    </row>
    <row r="203" spans="1:29" s="160" customFormat="1" x14ac:dyDescent="0.15">
      <c r="A203" s="56"/>
      <c r="B203" s="56"/>
      <c r="C203" s="56"/>
      <c r="T203" s="299"/>
      <c r="U203" s="299"/>
      <c r="V203" s="299"/>
      <c r="W203" s="299"/>
      <c r="X203" s="299"/>
      <c r="Y203" s="299"/>
      <c r="Z203" s="299"/>
      <c r="AA203" s="299"/>
      <c r="AB203" s="299"/>
      <c r="AC203" s="299"/>
    </row>
    <row r="204" spans="1:29" s="160" customFormat="1" x14ac:dyDescent="0.15">
      <c r="A204" s="56"/>
      <c r="B204" s="56"/>
      <c r="C204" s="56"/>
      <c r="T204" s="299"/>
      <c r="U204" s="299"/>
      <c r="V204" s="299"/>
      <c r="W204" s="299"/>
      <c r="X204" s="299"/>
      <c r="Y204" s="299"/>
      <c r="Z204" s="299"/>
      <c r="AA204" s="299"/>
      <c r="AB204" s="299"/>
      <c r="AC204" s="299"/>
    </row>
    <row r="205" spans="1:29" s="160" customFormat="1" x14ac:dyDescent="0.15">
      <c r="A205" s="56"/>
      <c r="B205" s="56"/>
      <c r="C205" s="56"/>
      <c r="T205" s="299"/>
      <c r="U205" s="299"/>
      <c r="V205" s="299"/>
      <c r="W205" s="299"/>
      <c r="X205" s="299"/>
      <c r="Y205" s="299"/>
      <c r="Z205" s="299"/>
      <c r="AA205" s="299"/>
      <c r="AB205" s="299"/>
      <c r="AC205" s="299"/>
    </row>
    <row r="206" spans="1:29" s="160" customFormat="1" x14ac:dyDescent="0.15">
      <c r="A206" s="56"/>
      <c r="B206" s="56"/>
      <c r="C206" s="56"/>
      <c r="T206" s="299"/>
      <c r="U206" s="299"/>
      <c r="V206" s="299"/>
      <c r="W206" s="299"/>
      <c r="X206" s="299"/>
      <c r="Y206" s="299"/>
      <c r="Z206" s="299"/>
      <c r="AA206" s="299"/>
      <c r="AB206" s="299"/>
      <c r="AC206" s="299"/>
    </row>
    <row r="207" spans="1:29" s="160" customFormat="1" x14ac:dyDescent="0.15">
      <c r="A207" s="56"/>
      <c r="B207" s="56"/>
      <c r="C207" s="56"/>
      <c r="T207" s="299"/>
      <c r="U207" s="299"/>
      <c r="V207" s="299"/>
      <c r="W207" s="299"/>
      <c r="X207" s="299"/>
      <c r="Y207" s="299"/>
      <c r="Z207" s="299"/>
      <c r="AA207" s="299"/>
      <c r="AB207" s="299"/>
      <c r="AC207" s="299"/>
    </row>
    <row r="208" spans="1:29" s="160" customFormat="1" x14ac:dyDescent="0.15">
      <c r="A208" s="56"/>
      <c r="B208" s="56"/>
      <c r="C208" s="56"/>
      <c r="T208" s="299"/>
      <c r="U208" s="299"/>
      <c r="V208" s="299"/>
      <c r="W208" s="299"/>
      <c r="X208" s="299"/>
      <c r="Y208" s="299"/>
      <c r="Z208" s="299"/>
      <c r="AA208" s="299"/>
      <c r="AB208" s="299"/>
      <c r="AC208" s="299"/>
    </row>
    <row r="209" spans="1:40" s="160" customFormat="1" x14ac:dyDescent="0.15">
      <c r="A209" s="56"/>
      <c r="B209" s="56"/>
      <c r="C209" s="56"/>
      <c r="T209" s="299"/>
      <c r="U209" s="299"/>
      <c r="V209" s="299"/>
      <c r="W209" s="299"/>
      <c r="X209" s="299"/>
      <c r="Y209" s="299"/>
      <c r="Z209" s="299"/>
      <c r="AA209" s="299"/>
      <c r="AB209" s="299"/>
      <c r="AC209" s="299"/>
    </row>
    <row r="210" spans="1:40" s="160" customFormat="1" x14ac:dyDescent="0.15">
      <c r="A210" s="56"/>
      <c r="B210" s="56"/>
      <c r="C210" s="56"/>
      <c r="T210" s="299"/>
      <c r="U210" s="299"/>
      <c r="V210" s="299"/>
      <c r="W210" s="299"/>
      <c r="X210" s="299"/>
      <c r="Y210" s="299"/>
      <c r="Z210" s="299"/>
      <c r="AA210" s="299"/>
      <c r="AB210" s="299"/>
      <c r="AC210" s="299"/>
    </row>
    <row r="211" spans="1:40" s="160" customFormat="1" x14ac:dyDescent="0.15">
      <c r="A211" s="56"/>
      <c r="B211" s="56"/>
      <c r="C211" s="56"/>
      <c r="T211" s="299"/>
      <c r="U211" s="299"/>
      <c r="V211" s="299"/>
      <c r="W211" s="299"/>
      <c r="X211" s="299"/>
      <c r="Y211" s="299"/>
      <c r="Z211" s="299"/>
      <c r="AA211" s="299"/>
      <c r="AB211" s="299"/>
      <c r="AC211" s="299"/>
    </row>
    <row r="212" spans="1:40" s="160" customFormat="1" x14ac:dyDescent="0.15">
      <c r="A212" s="56"/>
      <c r="B212" s="56"/>
      <c r="C212" s="56"/>
      <c r="T212" s="299"/>
      <c r="U212" s="299"/>
      <c r="V212" s="299"/>
      <c r="W212" s="299"/>
      <c r="X212" s="299"/>
      <c r="Y212" s="299"/>
      <c r="Z212" s="299"/>
      <c r="AA212" s="299"/>
      <c r="AB212" s="299"/>
      <c r="AC212" s="299"/>
    </row>
    <row r="213" spans="1:40" s="160" customFormat="1" x14ac:dyDescent="0.15">
      <c r="A213" s="56"/>
      <c r="B213" s="56"/>
      <c r="C213" s="56"/>
      <c r="T213" s="299"/>
      <c r="U213" s="299"/>
      <c r="V213" s="299"/>
      <c r="W213" s="299"/>
      <c r="X213" s="299"/>
      <c r="Y213" s="299"/>
      <c r="Z213" s="299"/>
      <c r="AA213" s="299"/>
      <c r="AB213" s="299"/>
      <c r="AC213" s="299"/>
    </row>
    <row r="214" spans="1:40" s="160" customFormat="1" x14ac:dyDescent="0.15">
      <c r="A214" s="56"/>
      <c r="B214" s="56"/>
      <c r="C214" s="56"/>
      <c r="T214" s="299"/>
      <c r="U214" s="299"/>
      <c r="V214" s="299"/>
      <c r="W214" s="299"/>
      <c r="X214" s="299"/>
      <c r="Y214" s="299"/>
      <c r="Z214" s="299"/>
      <c r="AA214" s="299"/>
      <c r="AB214" s="299"/>
      <c r="AC214" s="299"/>
    </row>
    <row r="215" spans="1:40" s="160" customFormat="1" x14ac:dyDescent="0.15">
      <c r="A215" s="56"/>
      <c r="B215" s="56"/>
      <c r="C215" s="56"/>
      <c r="T215" s="299"/>
      <c r="U215" s="299"/>
      <c r="V215" s="299"/>
      <c r="W215" s="299"/>
      <c r="X215" s="299"/>
      <c r="Y215" s="299"/>
      <c r="Z215" s="299"/>
      <c r="AA215" s="299"/>
      <c r="AB215" s="299"/>
      <c r="AC215" s="299"/>
    </row>
    <row r="216" spans="1:40" s="160" customFormat="1" x14ac:dyDescent="0.15">
      <c r="A216" s="56"/>
      <c r="B216" s="56"/>
      <c r="C216" s="56"/>
      <c r="T216" s="299"/>
      <c r="U216" s="299"/>
      <c r="V216" s="299"/>
      <c r="W216" s="299"/>
      <c r="X216" s="299"/>
      <c r="Y216" s="299"/>
      <c r="Z216" s="299"/>
      <c r="AA216" s="299"/>
      <c r="AB216" s="299"/>
      <c r="AC216" s="299"/>
    </row>
    <row r="217" spans="1:40" s="160" customFormat="1" x14ac:dyDescent="0.15">
      <c r="A217" s="56"/>
      <c r="B217" s="56"/>
      <c r="C217" s="56"/>
      <c r="T217" s="299"/>
      <c r="U217" s="299"/>
      <c r="V217" s="299"/>
      <c r="W217" s="299"/>
      <c r="X217" s="299"/>
      <c r="Y217" s="299"/>
      <c r="Z217" s="299"/>
      <c r="AA217" s="299"/>
      <c r="AB217" s="299"/>
      <c r="AC217" s="299"/>
    </row>
    <row r="218" spans="1:40" s="160" customFormat="1" x14ac:dyDescent="0.15">
      <c r="A218" s="56"/>
      <c r="B218" s="56"/>
      <c r="C218" s="56"/>
      <c r="T218" s="299"/>
      <c r="U218" s="299"/>
      <c r="V218" s="299"/>
      <c r="W218" s="299"/>
      <c r="X218" s="299"/>
      <c r="Y218" s="299"/>
      <c r="Z218" s="299"/>
      <c r="AA218" s="299"/>
      <c r="AB218" s="299"/>
      <c r="AC218" s="299"/>
    </row>
    <row r="219" spans="1:40" x14ac:dyDescent="0.15">
      <c r="D219" s="160"/>
      <c r="E219" s="160"/>
      <c r="F219" s="160"/>
      <c r="G219" s="160"/>
      <c r="H219" s="160"/>
      <c r="I219" s="160"/>
      <c r="J219" s="160"/>
      <c r="K219" s="160"/>
      <c r="L219" s="160"/>
      <c r="M219" s="160"/>
      <c r="N219" s="160"/>
      <c r="O219" s="160"/>
      <c r="P219" s="160"/>
      <c r="Q219" s="160"/>
      <c r="R219" s="160"/>
      <c r="S219" s="160"/>
      <c r="T219" s="299"/>
      <c r="U219" s="299"/>
      <c r="V219" s="299"/>
      <c r="W219" s="299"/>
      <c r="X219" s="299"/>
      <c r="Y219" s="299"/>
      <c r="Z219" s="299"/>
      <c r="AA219" s="299"/>
      <c r="AB219" s="299"/>
      <c r="AC219" s="299"/>
      <c r="AD219" s="160"/>
      <c r="AE219" s="160"/>
      <c r="AF219" s="160"/>
      <c r="AG219" s="160"/>
      <c r="AH219" s="160"/>
      <c r="AI219" s="160"/>
      <c r="AJ219" s="160"/>
      <c r="AK219" s="160"/>
      <c r="AL219" s="160"/>
      <c r="AM219" s="160"/>
      <c r="AN219" s="160"/>
    </row>
    <row r="220" spans="1:40" x14ac:dyDescent="0.15">
      <c r="D220" s="160"/>
      <c r="E220" s="160"/>
      <c r="F220" s="160"/>
      <c r="G220" s="160"/>
      <c r="H220" s="160"/>
      <c r="I220" s="160"/>
      <c r="J220" s="160"/>
      <c r="K220" s="160"/>
      <c r="L220" s="160"/>
      <c r="M220" s="160"/>
      <c r="N220" s="160"/>
      <c r="O220" s="160"/>
      <c r="P220" s="160"/>
      <c r="Q220" s="160"/>
      <c r="R220" s="160"/>
      <c r="S220" s="160"/>
      <c r="T220" s="299"/>
      <c r="U220" s="299"/>
      <c r="V220" s="299"/>
      <c r="W220" s="299"/>
      <c r="X220" s="299"/>
      <c r="Y220" s="299"/>
      <c r="Z220" s="299"/>
      <c r="AA220" s="299"/>
      <c r="AB220" s="299"/>
      <c r="AC220" s="299"/>
      <c r="AD220" s="160"/>
      <c r="AE220" s="160"/>
      <c r="AF220" s="160"/>
      <c r="AG220" s="160"/>
      <c r="AH220" s="160"/>
      <c r="AI220" s="160"/>
      <c r="AJ220" s="160"/>
      <c r="AK220" s="160"/>
      <c r="AL220" s="160"/>
      <c r="AM220" s="160"/>
      <c r="AN220" s="160"/>
    </row>
    <row r="221" spans="1:40" x14ac:dyDescent="0.15">
      <c r="D221" s="160"/>
      <c r="E221" s="160"/>
      <c r="F221" s="160"/>
      <c r="G221" s="160"/>
      <c r="H221" s="160"/>
      <c r="I221" s="160"/>
      <c r="J221" s="160"/>
      <c r="K221" s="160"/>
      <c r="L221" s="160"/>
      <c r="M221" s="160"/>
      <c r="N221" s="160"/>
      <c r="O221" s="160"/>
      <c r="P221" s="160"/>
      <c r="Q221" s="160"/>
      <c r="R221" s="160"/>
      <c r="S221" s="160"/>
      <c r="T221" s="299"/>
      <c r="U221" s="299"/>
      <c r="V221" s="299"/>
      <c r="W221" s="299"/>
      <c r="X221" s="299"/>
      <c r="Y221" s="299"/>
      <c r="Z221" s="299"/>
      <c r="AA221" s="299"/>
      <c r="AB221" s="299"/>
      <c r="AC221" s="299"/>
      <c r="AD221" s="160"/>
      <c r="AE221" s="160"/>
      <c r="AF221" s="160"/>
      <c r="AG221" s="160"/>
      <c r="AH221" s="160"/>
      <c r="AI221" s="160"/>
      <c r="AJ221" s="160"/>
      <c r="AK221" s="160"/>
      <c r="AL221" s="160"/>
      <c r="AM221" s="160"/>
      <c r="AN221" s="160"/>
    </row>
  </sheetData>
  <pageMargins left="0.75" right="0.75" top="1" bottom="1" header="0.5" footer="0.5"/>
  <pageSetup scale="52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"/>
  <sheetViews>
    <sheetView showGridLines="0" zoomScale="113" workbookViewId="0">
      <selection activeCell="D2" sqref="D2"/>
    </sheetView>
  </sheetViews>
  <sheetFormatPr baseColWidth="10" defaultRowHeight="16" x14ac:dyDescent="0.2"/>
  <cols>
    <col min="1" max="1" width="1.5" customWidth="1"/>
    <col min="2" max="2" width="6.5" bestFit="1" customWidth="1"/>
    <col min="3" max="4" width="42" customWidth="1"/>
  </cols>
  <sheetData>
    <row r="1" spans="2:4" x14ac:dyDescent="0.2">
      <c r="C1" t="s">
        <v>405</v>
      </c>
      <c r="D1" t="s">
        <v>405</v>
      </c>
    </row>
    <row r="2" spans="2:4" x14ac:dyDescent="0.2">
      <c r="C2" s="486" t="s">
        <v>415</v>
      </c>
      <c r="D2" s="486" t="s">
        <v>416</v>
      </c>
    </row>
    <row r="3" spans="2:4" ht="192" x14ac:dyDescent="0.2">
      <c r="B3" s="486" t="s">
        <v>414</v>
      </c>
      <c r="C3" s="479" t="s">
        <v>418</v>
      </c>
      <c r="D3" s="487" t="s">
        <v>421</v>
      </c>
    </row>
    <row r="4" spans="2:4" ht="240" x14ac:dyDescent="0.2">
      <c r="B4" s="486" t="s">
        <v>417</v>
      </c>
      <c r="C4" s="487" t="s">
        <v>419</v>
      </c>
      <c r="D4" s="487" t="s">
        <v>420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19" workbookViewId="0">
      <selection activeCell="D14" sqref="D14"/>
    </sheetView>
  </sheetViews>
  <sheetFormatPr baseColWidth="10" defaultRowHeight="16" x14ac:dyDescent="0.2"/>
  <cols>
    <col min="1" max="1" width="3" style="545" customWidth="1"/>
    <col min="2" max="2" width="20" style="545" customWidth="1"/>
    <col min="3" max="3" width="18" style="545" customWidth="1"/>
    <col min="4" max="4" width="87.33203125" style="545" customWidth="1"/>
    <col min="5" max="5" width="2.83203125" style="545" customWidth="1"/>
    <col min="6" max="16384" width="10.83203125" style="545"/>
  </cols>
  <sheetData>
    <row r="1" spans="1:9" ht="17" thickBot="1" x14ac:dyDescent="0.25">
      <c r="F1" s="546"/>
      <c r="G1" s="546"/>
      <c r="H1" s="546"/>
      <c r="I1" s="546"/>
    </row>
    <row r="2" spans="1:9" ht="21" x14ac:dyDescent="0.2">
      <c r="A2" s="597" t="s">
        <v>480</v>
      </c>
      <c r="B2" s="598"/>
      <c r="C2" s="598"/>
      <c r="D2" s="598"/>
      <c r="E2" s="599"/>
      <c r="F2" s="546"/>
      <c r="G2" s="546"/>
      <c r="H2" s="546"/>
      <c r="I2" s="546"/>
    </row>
    <row r="3" spans="1:9" ht="17" thickBot="1" x14ac:dyDescent="0.25">
      <c r="A3" s="547"/>
      <c r="B3" s="548"/>
      <c r="C3" s="549" t="s">
        <v>464</v>
      </c>
      <c r="D3" s="549" t="s">
        <v>465</v>
      </c>
      <c r="E3" s="550"/>
      <c r="F3" s="546"/>
      <c r="G3" s="546"/>
      <c r="H3" s="546"/>
      <c r="I3" s="546"/>
    </row>
    <row r="4" spans="1:9" x14ac:dyDescent="0.2">
      <c r="A4" s="547"/>
      <c r="B4" s="551"/>
      <c r="C4" s="552"/>
      <c r="D4" s="552"/>
      <c r="E4" s="550"/>
      <c r="F4" s="546"/>
      <c r="G4" s="546"/>
      <c r="H4" s="546"/>
      <c r="I4" s="546"/>
    </row>
    <row r="5" spans="1:9" x14ac:dyDescent="0.2">
      <c r="A5" s="547"/>
      <c r="B5" s="552" t="s">
        <v>466</v>
      </c>
      <c r="C5" s="551"/>
      <c r="D5" s="553"/>
      <c r="E5" s="550"/>
      <c r="F5" s="546"/>
      <c r="G5" s="546"/>
      <c r="H5" s="546"/>
      <c r="I5" s="546"/>
    </row>
    <row r="6" spans="1:9" x14ac:dyDescent="0.2">
      <c r="A6" s="547"/>
      <c r="B6" s="554"/>
      <c r="C6" s="551"/>
      <c r="D6" s="553"/>
      <c r="E6" s="550"/>
      <c r="F6" s="546"/>
      <c r="G6" s="546"/>
      <c r="H6" s="546"/>
      <c r="I6" s="546"/>
    </row>
    <row r="7" spans="1:9" ht="64" x14ac:dyDescent="0.2">
      <c r="A7" s="547"/>
      <c r="B7" s="555" t="s">
        <v>377</v>
      </c>
      <c r="C7" s="556" t="s">
        <v>386</v>
      </c>
      <c r="D7" s="557" t="s">
        <v>467</v>
      </c>
      <c r="E7" s="550"/>
      <c r="F7" s="546"/>
      <c r="G7" s="546"/>
      <c r="H7" s="546"/>
      <c r="I7" s="546"/>
    </row>
    <row r="8" spans="1:9" ht="32" x14ac:dyDescent="0.2">
      <c r="A8" s="547"/>
      <c r="B8" s="558" t="s">
        <v>378</v>
      </c>
      <c r="C8" s="559" t="s">
        <v>387</v>
      </c>
      <c r="D8" s="560" t="s">
        <v>468</v>
      </c>
      <c r="E8" s="550"/>
      <c r="F8" s="546"/>
      <c r="G8" s="546"/>
      <c r="H8" s="546"/>
      <c r="I8" s="546"/>
    </row>
    <row r="9" spans="1:9" ht="48" x14ac:dyDescent="0.2">
      <c r="A9" s="547"/>
      <c r="B9" s="558" t="s">
        <v>379</v>
      </c>
      <c r="C9" s="559" t="s">
        <v>388</v>
      </c>
      <c r="D9" s="560" t="s">
        <v>469</v>
      </c>
      <c r="E9" s="550"/>
      <c r="F9" s="546"/>
      <c r="G9" s="546"/>
      <c r="H9" s="546"/>
      <c r="I9" s="546"/>
    </row>
    <row r="10" spans="1:9" ht="48" x14ac:dyDescent="0.2">
      <c r="A10" s="547"/>
      <c r="B10" s="558" t="s">
        <v>380</v>
      </c>
      <c r="C10" s="559" t="s">
        <v>389</v>
      </c>
      <c r="D10" s="560" t="s">
        <v>470</v>
      </c>
      <c r="E10" s="550"/>
      <c r="F10" s="546"/>
      <c r="G10" s="546"/>
      <c r="H10" s="546"/>
      <c r="I10" s="546"/>
    </row>
    <row r="11" spans="1:9" x14ac:dyDescent="0.2">
      <c r="A11" s="547"/>
      <c r="B11" s="558" t="s">
        <v>381</v>
      </c>
      <c r="C11" s="559" t="s">
        <v>390</v>
      </c>
      <c r="D11" s="560" t="s">
        <v>471</v>
      </c>
      <c r="E11" s="550"/>
      <c r="F11" s="546"/>
      <c r="G11" s="546"/>
      <c r="H11" s="546"/>
      <c r="I11" s="546"/>
    </row>
    <row r="12" spans="1:9" ht="32" x14ac:dyDescent="0.2">
      <c r="A12" s="547"/>
      <c r="B12" s="554" t="s">
        <v>382</v>
      </c>
      <c r="C12" s="551" t="s">
        <v>391</v>
      </c>
      <c r="D12" s="561" t="s">
        <v>409</v>
      </c>
      <c r="E12" s="550"/>
      <c r="F12" s="546"/>
      <c r="G12" s="546"/>
      <c r="H12" s="546"/>
      <c r="I12" s="546"/>
    </row>
    <row r="13" spans="1:9" ht="17" thickBot="1" x14ac:dyDescent="0.25">
      <c r="A13" s="547"/>
      <c r="B13" s="562"/>
      <c r="C13" s="548"/>
      <c r="D13" s="563"/>
      <c r="E13" s="550"/>
      <c r="F13" s="546"/>
      <c r="G13" s="546"/>
      <c r="H13" s="546"/>
      <c r="I13" s="546"/>
    </row>
    <row r="14" spans="1:9" x14ac:dyDescent="0.2">
      <c r="A14" s="547"/>
      <c r="B14" s="554"/>
      <c r="C14" s="551"/>
      <c r="D14" s="561"/>
      <c r="E14" s="550"/>
      <c r="F14" s="546"/>
      <c r="G14" s="546"/>
      <c r="H14" s="546"/>
      <c r="I14" s="546"/>
    </row>
    <row r="15" spans="1:9" x14ac:dyDescent="0.2">
      <c r="A15" s="547"/>
      <c r="B15" s="552" t="s">
        <v>472</v>
      </c>
      <c r="C15" s="551"/>
      <c r="D15" s="561"/>
      <c r="E15" s="550"/>
      <c r="F15" s="546"/>
      <c r="G15" s="546"/>
      <c r="H15" s="546"/>
      <c r="I15" s="546"/>
    </row>
    <row r="16" spans="1:9" x14ac:dyDescent="0.2">
      <c r="A16" s="547"/>
      <c r="B16" s="552"/>
      <c r="C16" s="551"/>
      <c r="D16" s="561"/>
      <c r="E16" s="550"/>
      <c r="F16" s="546"/>
      <c r="G16" s="546"/>
      <c r="H16" s="546"/>
      <c r="I16" s="546"/>
    </row>
    <row r="17" spans="1:9" x14ac:dyDescent="0.2">
      <c r="A17" s="547"/>
      <c r="B17" s="555" t="s">
        <v>380</v>
      </c>
      <c r="C17" s="556" t="s">
        <v>393</v>
      </c>
      <c r="D17" s="564" t="s">
        <v>473</v>
      </c>
      <c r="E17" s="550"/>
      <c r="F17" s="546"/>
      <c r="G17" s="546"/>
      <c r="H17" s="546"/>
      <c r="I17" s="546"/>
    </row>
    <row r="18" spans="1:9" ht="64" x14ac:dyDescent="0.2">
      <c r="A18" s="547"/>
      <c r="B18" s="558" t="s">
        <v>370</v>
      </c>
      <c r="C18" s="559" t="s">
        <v>351</v>
      </c>
      <c r="D18" s="560" t="s">
        <v>474</v>
      </c>
      <c r="E18" s="550"/>
      <c r="F18" s="546"/>
      <c r="G18" s="546"/>
      <c r="H18" s="546"/>
      <c r="I18" s="546"/>
    </row>
    <row r="19" spans="1:9" ht="48" x14ac:dyDescent="0.2">
      <c r="A19" s="547"/>
      <c r="B19" s="558" t="s">
        <v>383</v>
      </c>
      <c r="C19" s="559" t="s">
        <v>394</v>
      </c>
      <c r="D19" s="560" t="s">
        <v>475</v>
      </c>
      <c r="E19" s="550"/>
    </row>
    <row r="20" spans="1:9" ht="32" x14ac:dyDescent="0.2">
      <c r="A20" s="547"/>
      <c r="B20" s="558" t="s">
        <v>384</v>
      </c>
      <c r="C20" s="559" t="s">
        <v>395</v>
      </c>
      <c r="D20" s="560" t="s">
        <v>476</v>
      </c>
      <c r="E20" s="550"/>
    </row>
    <row r="21" spans="1:9" x14ac:dyDescent="0.2">
      <c r="A21" s="547"/>
      <c r="B21" s="558" t="s">
        <v>385</v>
      </c>
      <c r="C21" s="559" t="s">
        <v>396</v>
      </c>
      <c r="D21" s="560" t="s">
        <v>477</v>
      </c>
      <c r="E21" s="550"/>
    </row>
    <row r="22" spans="1:9" x14ac:dyDescent="0.2">
      <c r="A22" s="547"/>
      <c r="B22" s="558" t="s">
        <v>378</v>
      </c>
      <c r="C22" s="559" t="s">
        <v>397</v>
      </c>
      <c r="D22" s="560" t="s">
        <v>478</v>
      </c>
      <c r="E22" s="550"/>
    </row>
    <row r="23" spans="1:9" ht="32" x14ac:dyDescent="0.2">
      <c r="A23" s="547"/>
      <c r="B23" s="554" t="s">
        <v>379</v>
      </c>
      <c r="C23" s="551" t="s">
        <v>398</v>
      </c>
      <c r="D23" s="561" t="s">
        <v>479</v>
      </c>
      <c r="E23" s="550"/>
    </row>
    <row r="24" spans="1:9" ht="17" thickBot="1" x14ac:dyDescent="0.25">
      <c r="A24" s="565"/>
      <c r="B24" s="566"/>
      <c r="C24" s="566"/>
      <c r="D24" s="566"/>
      <c r="E24" s="567"/>
    </row>
  </sheetData>
  <mergeCells count="1">
    <mergeCell ref="A2:E2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/>
  </sheetPr>
  <dimension ref="A2:S183"/>
  <sheetViews>
    <sheetView showGridLines="0" workbookViewId="0">
      <selection activeCell="M12" sqref="M12"/>
    </sheetView>
  </sheetViews>
  <sheetFormatPr baseColWidth="10" defaultColWidth="11.5" defaultRowHeight="13" outlineLevelCol="1" x14ac:dyDescent="0.15"/>
  <cols>
    <col min="1" max="1" width="3.33203125" style="1" customWidth="1"/>
    <col min="2" max="3" width="3.33203125" style="1" hidden="1" customWidth="1" outlineLevel="1"/>
    <col min="4" max="4" width="24.6640625" style="17" customWidth="1" collapsed="1"/>
    <col min="5" max="5" width="9.33203125" style="17" bestFit="1" customWidth="1"/>
    <col min="6" max="6" width="9.5" style="17" customWidth="1"/>
    <col min="7" max="8" width="9.33203125" style="17" customWidth="1"/>
    <col min="9" max="9" width="9.33203125" style="17" bestFit="1" customWidth="1"/>
    <col min="10" max="15" width="10.83203125" style="17" customWidth="1"/>
    <col min="16" max="16" width="10.1640625" style="17" bestFit="1" customWidth="1"/>
    <col min="17" max="18" width="11.5" style="39" customWidth="1"/>
    <col min="19" max="16384" width="11.5" style="17"/>
  </cols>
  <sheetData>
    <row r="2" spans="4:19" s="1" customFormat="1" ht="11.25" customHeight="1" x14ac:dyDescent="0.15">
      <c r="Q2" s="36"/>
      <c r="R2" s="36"/>
    </row>
    <row r="3" spans="4:19" s="1" customFormat="1" ht="20" customHeight="1" x14ac:dyDescent="0.25">
      <c r="D3" s="4" t="s">
        <v>0</v>
      </c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7"/>
      <c r="Q3" s="8"/>
      <c r="R3" s="8"/>
    </row>
    <row r="4" spans="4:19" s="1" customFormat="1" ht="3" customHeight="1" x14ac:dyDescent="0.2"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11"/>
      <c r="Q4" s="12"/>
      <c r="R4" s="12"/>
    </row>
    <row r="5" spans="4:19" s="1" customFormat="1" ht="2" customHeight="1" x14ac:dyDescent="0.15"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14"/>
    </row>
    <row r="6" spans="4:19" s="1" customFormat="1" ht="5.25" customHeight="1" x14ac:dyDescent="0.15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4"/>
      <c r="R6" s="14"/>
    </row>
    <row r="7" spans="4:19" x14ac:dyDescent="0.15">
      <c r="Q7" s="18"/>
      <c r="R7" s="18"/>
    </row>
    <row r="8" spans="4:19" ht="18" x14ac:dyDescent="0.2">
      <c r="D8" s="16" t="s">
        <v>38</v>
      </c>
    </row>
    <row r="9" spans="4:19" x14ac:dyDescent="0.15">
      <c r="D9" s="19" t="s">
        <v>1</v>
      </c>
      <c r="F9" s="20"/>
      <c r="G9" s="22" t="s">
        <v>2</v>
      </c>
      <c r="H9" s="22"/>
      <c r="I9" s="22"/>
      <c r="J9" s="22"/>
      <c r="K9" s="22"/>
      <c r="L9" s="22"/>
      <c r="M9" s="22"/>
      <c r="N9" s="22"/>
      <c r="O9" s="22"/>
      <c r="P9" s="22"/>
    </row>
    <row r="10" spans="4:19" x14ac:dyDescent="0.15">
      <c r="F10" s="41">
        <v>0</v>
      </c>
      <c r="G10" s="25">
        <v>1</v>
      </c>
      <c r="H10" s="25">
        <v>2</v>
      </c>
      <c r="I10" s="25">
        <v>3</v>
      </c>
      <c r="J10" s="25">
        <v>4</v>
      </c>
      <c r="K10" s="25">
        <v>5</v>
      </c>
      <c r="L10" s="25">
        <v>6</v>
      </c>
      <c r="M10" s="25">
        <v>7</v>
      </c>
      <c r="N10" s="25">
        <v>8</v>
      </c>
      <c r="O10" s="25">
        <v>9</v>
      </c>
      <c r="P10" s="25">
        <v>10</v>
      </c>
    </row>
    <row r="11" spans="4:19" ht="12" customHeight="1" x14ac:dyDescent="0.15">
      <c r="D11" s="17" t="s">
        <v>12</v>
      </c>
      <c r="F11" s="31"/>
      <c r="G11" s="30"/>
      <c r="H11" s="30"/>
      <c r="I11" s="30"/>
      <c r="J11" s="30"/>
      <c r="K11" s="30"/>
      <c r="L11" s="30"/>
      <c r="M11" s="30"/>
      <c r="N11" s="30"/>
      <c r="O11" s="30"/>
      <c r="P11" s="30"/>
      <c r="R11" s="69" t="s">
        <v>39</v>
      </c>
    </row>
    <row r="12" spans="4:19" ht="12" customHeight="1" x14ac:dyDescent="0.15">
      <c r="D12" s="17" t="s">
        <v>40</v>
      </c>
      <c r="G12" s="32">
        <v>653.07599999999991</v>
      </c>
      <c r="H12" s="32">
        <v>2242.2275999999997</v>
      </c>
      <c r="I12" s="32">
        <v>8660.6041049999985</v>
      </c>
      <c r="J12" s="32">
        <v>19823.160507000001</v>
      </c>
      <c r="K12" s="32">
        <v>25522.319152762495</v>
      </c>
      <c r="L12" s="32">
        <v>36803.184218283517</v>
      </c>
      <c r="M12" s="32">
        <v>47654.865964931683</v>
      </c>
      <c r="N12" s="32">
        <v>53992.963138267616</v>
      </c>
      <c r="O12" s="32">
        <v>61174.027235657202</v>
      </c>
      <c r="P12" s="32">
        <v>69310.172857999627</v>
      </c>
      <c r="R12" s="70">
        <f>(O12/G12)^(1/8)-1</f>
        <v>0.76380438716158383</v>
      </c>
      <c r="S12" s="17" t="s">
        <v>41</v>
      </c>
    </row>
    <row r="13" spans="4:19" ht="12" customHeight="1" x14ac:dyDescent="0.15">
      <c r="D13" s="17" t="s">
        <v>42</v>
      </c>
      <c r="G13" s="44">
        <v>469.57568399999997</v>
      </c>
      <c r="H13" s="44">
        <v>1644.8858483999998</v>
      </c>
      <c r="I13" s="44">
        <v>6079.2765894449994</v>
      </c>
      <c r="J13" s="44">
        <v>13320.388638062999</v>
      </c>
      <c r="K13" s="44">
        <v>16062.875371506112</v>
      </c>
      <c r="L13" s="44">
        <v>23046.641285711808</v>
      </c>
      <c r="M13" s="44">
        <v>29696.248087670265</v>
      </c>
      <c r="N13" s="44">
        <v>33485.40308333042</v>
      </c>
      <c r="O13" s="44">
        <v>37762.471093413362</v>
      </c>
      <c r="P13" s="44">
        <v>42590.740088837352</v>
      </c>
      <c r="S13" s="71"/>
    </row>
    <row r="14" spans="4:19" ht="12" customHeight="1" x14ac:dyDescent="0.15">
      <c r="D14" s="17" t="s">
        <v>43</v>
      </c>
      <c r="G14" s="32">
        <v>183.50031599999994</v>
      </c>
      <c r="H14" s="32">
        <v>597.34175159999995</v>
      </c>
      <c r="I14" s="32">
        <v>2581.3275155549991</v>
      </c>
      <c r="J14" s="32">
        <v>6502.7718689370013</v>
      </c>
      <c r="K14" s="32">
        <v>9459.4437812563829</v>
      </c>
      <c r="L14" s="32">
        <v>13756.542932571709</v>
      </c>
      <c r="M14" s="32">
        <v>17958.617877261418</v>
      </c>
      <c r="N14" s="32">
        <v>20507.560054937196</v>
      </c>
      <c r="O14" s="32">
        <v>23411.55614224384</v>
      </c>
      <c r="P14" s="32">
        <v>26719.432769162275</v>
      </c>
    </row>
    <row r="15" spans="4:19" ht="7.5" customHeight="1" x14ac:dyDescent="0.15"/>
    <row r="16" spans="4:19" ht="12" customHeight="1" x14ac:dyDescent="0.15">
      <c r="D16" s="17" t="s">
        <v>44</v>
      </c>
    </row>
    <row r="17" spans="4:18" ht="12" customHeight="1" x14ac:dyDescent="0.15">
      <c r="D17" s="39" t="s">
        <v>45</v>
      </c>
      <c r="G17" s="51">
        <v>261.13959</v>
      </c>
      <c r="H17" s="51">
        <v>391.78725534775919</v>
      </c>
      <c r="I17" s="51">
        <v>1046.6564878874999</v>
      </c>
      <c r="J17" s="51">
        <v>3142.1477798525002</v>
      </c>
      <c r="K17" s="51">
        <v>4044.7652665600931</v>
      </c>
      <c r="L17" s="51">
        <v>5831.5015143796545</v>
      </c>
      <c r="M17" s="51">
        <v>7549.6413894767402</v>
      </c>
      <c r="N17" s="51">
        <v>8552.2916942771499</v>
      </c>
      <c r="O17" s="51">
        <v>9688.1492896160089</v>
      </c>
      <c r="P17" s="51">
        <v>10974.916225134941</v>
      </c>
    </row>
    <row r="18" spans="4:18" ht="12" customHeight="1" x14ac:dyDescent="0.15">
      <c r="D18" s="72" t="s">
        <v>46</v>
      </c>
      <c r="G18" s="51">
        <v>179.3</v>
      </c>
      <c r="H18" s="51">
        <v>436.29666666666674</v>
      </c>
      <c r="I18" s="51">
        <v>872.59333333333348</v>
      </c>
      <c r="J18" s="51">
        <v>1228.6792903002311</v>
      </c>
      <c r="K18" s="51">
        <v>1581.9245862615471</v>
      </c>
      <c r="L18" s="51">
        <v>2281.1352533891509</v>
      </c>
      <c r="M18" s="51">
        <v>2953.7442766741806</v>
      </c>
      <c r="N18" s="51">
        <v>3346.5922654718474</v>
      </c>
      <c r="O18" s="51">
        <v>3791.6890367796032</v>
      </c>
      <c r="P18" s="51">
        <v>4295.9836786712913</v>
      </c>
    </row>
    <row r="19" spans="4:18" ht="12" customHeight="1" x14ac:dyDescent="0.15">
      <c r="D19" s="39" t="s">
        <v>47</v>
      </c>
      <c r="G19" s="73">
        <v>204</v>
      </c>
      <c r="H19" s="73">
        <v>204</v>
      </c>
      <c r="I19" s="73">
        <v>204</v>
      </c>
      <c r="J19" s="73">
        <v>1179.5012259408636</v>
      </c>
      <c r="K19" s="73">
        <v>1518.6078283988616</v>
      </c>
      <c r="L19" s="73">
        <v>2189.8324885511583</v>
      </c>
      <c r="M19" s="73">
        <v>2835.5202394610997</v>
      </c>
      <c r="N19" s="73">
        <v>3212.6444313094271</v>
      </c>
      <c r="O19" s="73">
        <v>3639.9261406735804</v>
      </c>
      <c r="P19" s="73">
        <v>4124.0363173831674</v>
      </c>
    </row>
    <row r="20" spans="4:18" ht="12" customHeight="1" x14ac:dyDescent="0.15">
      <c r="D20" s="17" t="s">
        <v>48</v>
      </c>
      <c r="G20" s="32">
        <v>644.43958999999995</v>
      </c>
      <c r="H20" s="32">
        <v>1032.083922014426</v>
      </c>
      <c r="I20" s="32">
        <v>2123.2498212208334</v>
      </c>
      <c r="J20" s="32">
        <v>5550.328296093594</v>
      </c>
      <c r="K20" s="32">
        <v>7145.2976812205025</v>
      </c>
      <c r="L20" s="32">
        <v>10302.469256319964</v>
      </c>
      <c r="M20" s="32">
        <v>13338.90590561202</v>
      </c>
      <c r="N20" s="32">
        <v>15111.528391058424</v>
      </c>
      <c r="O20" s="32">
        <v>17119.764467069195</v>
      </c>
      <c r="P20" s="32">
        <v>19394.9362211894</v>
      </c>
      <c r="R20" s="17"/>
    </row>
    <row r="21" spans="4:18" ht="7.5" customHeight="1" x14ac:dyDescent="0.15"/>
    <row r="22" spans="4:18" ht="12" customHeight="1" x14ac:dyDescent="0.15">
      <c r="D22" s="17" t="s">
        <v>22</v>
      </c>
      <c r="G22" s="32">
        <v>-460.93927400000001</v>
      </c>
      <c r="H22" s="32">
        <v>-434.74217041442603</v>
      </c>
      <c r="I22" s="32">
        <v>458.0776943341657</v>
      </c>
      <c r="J22" s="32">
        <v>952.44357284340731</v>
      </c>
      <c r="K22" s="32">
        <v>2314.1461000358804</v>
      </c>
      <c r="L22" s="32">
        <v>3454.0736762517445</v>
      </c>
      <c r="M22" s="32">
        <v>4619.711971649398</v>
      </c>
      <c r="N22" s="32">
        <v>5396.0316638787717</v>
      </c>
      <c r="O22" s="32">
        <v>6291.7916751746452</v>
      </c>
      <c r="P22" s="32">
        <v>7324.4965479728744</v>
      </c>
    </row>
    <row r="23" spans="4:18" ht="12" customHeight="1" x14ac:dyDescent="0.15">
      <c r="D23" s="17" t="s">
        <v>18</v>
      </c>
      <c r="G23" s="74">
        <v>-0.70579729464870866</v>
      </c>
      <c r="H23" s="75">
        <v>-0.1938885108783899</v>
      </c>
      <c r="I23" s="75">
        <v>5.2892118007068951E-2</v>
      </c>
      <c r="J23" s="75">
        <v>4.8047009078450345E-2</v>
      </c>
      <c r="K23" s="75">
        <v>9.0671466263887737E-2</v>
      </c>
      <c r="L23" s="75">
        <v>9.3852576879361146E-2</v>
      </c>
      <c r="M23" s="75">
        <v>9.6941033787587547E-2</v>
      </c>
      <c r="N23" s="75">
        <v>9.9939535640234639E-2</v>
      </c>
      <c r="O23" s="75">
        <v>0.10285070248746477</v>
      </c>
      <c r="P23" s="75">
        <v>0.10567707806729985</v>
      </c>
    </row>
    <row r="24" spans="4:18" ht="7.5" customHeight="1" x14ac:dyDescent="0.15"/>
    <row r="25" spans="4:18" ht="12" customHeight="1" x14ac:dyDescent="0.15">
      <c r="D25" s="17" t="s">
        <v>49</v>
      </c>
      <c r="G25" s="44">
        <v>3.4</v>
      </c>
      <c r="H25" s="44">
        <v>9.6533211839924835</v>
      </c>
      <c r="I25" s="44">
        <v>47.063932710858793</v>
      </c>
      <c r="J25" s="44">
        <v>132.6926657612417</v>
      </c>
      <c r="K25" s="44">
        <v>242.93965956360972</v>
      </c>
      <c r="L25" s="44">
        <v>401.91582462662433</v>
      </c>
      <c r="M25" s="44">
        <v>607.76724750250492</v>
      </c>
      <c r="N25" s="44">
        <v>840.99690962087766</v>
      </c>
      <c r="O25" s="44">
        <v>1105.2461168009941</v>
      </c>
      <c r="P25" s="44">
        <v>1404.640468536066</v>
      </c>
    </row>
    <row r="26" spans="4:18" ht="12" customHeight="1" x14ac:dyDescent="0.15">
      <c r="D26" s="17" t="s">
        <v>24</v>
      </c>
      <c r="G26" s="32">
        <v>-464.33927399999999</v>
      </c>
      <c r="H26" s="32">
        <v>-444.39549159841852</v>
      </c>
      <c r="I26" s="32">
        <v>411.01376162330689</v>
      </c>
      <c r="J26" s="32">
        <v>819.75090708216567</v>
      </c>
      <c r="K26" s="32">
        <v>2071.2064404722705</v>
      </c>
      <c r="L26" s="32">
        <v>3052.1578516251202</v>
      </c>
      <c r="M26" s="32">
        <v>4011.9447241468933</v>
      </c>
      <c r="N26" s="32">
        <v>4555.0347542578938</v>
      </c>
      <c r="O26" s="32">
        <v>5186.5455583736511</v>
      </c>
      <c r="P26" s="32">
        <v>5919.8560794368086</v>
      </c>
    </row>
    <row r="27" spans="4:18" ht="12" customHeight="1" x14ac:dyDescent="0.15">
      <c r="D27" s="17" t="s">
        <v>18</v>
      </c>
      <c r="G27" s="74">
        <v>-0.71100342685996742</v>
      </c>
      <c r="H27" s="75">
        <v>-0.19819374785968141</v>
      </c>
      <c r="I27" s="75">
        <v>4.7457862828069658E-2</v>
      </c>
      <c r="J27" s="75">
        <v>4.1353189204753366E-2</v>
      </c>
      <c r="K27" s="75">
        <v>8.1152752149018029E-2</v>
      </c>
      <c r="L27" s="75">
        <v>8.2931896151225787E-2</v>
      </c>
      <c r="M27" s="75">
        <v>8.4187514599227034E-2</v>
      </c>
      <c r="N27" s="75">
        <v>8.4363489045658699E-2</v>
      </c>
      <c r="O27" s="75">
        <v>8.4783457829150574E-2</v>
      </c>
      <c r="P27" s="75">
        <v>8.5411070775500919E-2</v>
      </c>
    </row>
    <row r="28" spans="4:18" ht="7.5" customHeight="1" x14ac:dyDescent="0.15"/>
    <row r="29" spans="4:18" ht="12" customHeight="1" x14ac:dyDescent="0.15">
      <c r="D29" s="17" t="s">
        <v>50</v>
      </c>
      <c r="E29" s="76">
        <v>0.35</v>
      </c>
      <c r="G29" s="44">
        <v>0</v>
      </c>
      <c r="H29" s="44">
        <v>0</v>
      </c>
      <c r="I29" s="44">
        <v>143.85481656815739</v>
      </c>
      <c r="J29" s="44">
        <v>286.91281747875797</v>
      </c>
      <c r="K29" s="44">
        <v>724.92225416529459</v>
      </c>
      <c r="L29" s="44">
        <v>1068.2552480687921</v>
      </c>
      <c r="M29" s="44">
        <v>1404.1806534514126</v>
      </c>
      <c r="N29" s="44">
        <v>1594.2621639902627</v>
      </c>
      <c r="O29" s="44">
        <v>1815.2909454307778</v>
      </c>
      <c r="P29" s="44">
        <v>2071.9496278028828</v>
      </c>
    </row>
    <row r="30" spans="4:18" ht="12" customHeight="1" x14ac:dyDescent="0.15">
      <c r="D30" s="17" t="s">
        <v>26</v>
      </c>
      <c r="G30" s="32">
        <v>-464.33927399999999</v>
      </c>
      <c r="H30" s="32">
        <v>-444.39549159841852</v>
      </c>
      <c r="I30" s="32">
        <v>267.1589450551495</v>
      </c>
      <c r="J30" s="32">
        <v>532.83808960340775</v>
      </c>
      <c r="K30" s="32">
        <v>1346.2841863069759</v>
      </c>
      <c r="L30" s="32">
        <v>1983.9026035563281</v>
      </c>
      <c r="M30" s="32">
        <v>2607.7640706954808</v>
      </c>
      <c r="N30" s="32">
        <v>2960.7725902676311</v>
      </c>
      <c r="O30" s="32">
        <v>3371.2546129428733</v>
      </c>
      <c r="P30" s="32">
        <v>3847.9064516339258</v>
      </c>
    </row>
    <row r="31" spans="4:18" ht="7.5" customHeight="1" x14ac:dyDescent="0.15"/>
    <row r="32" spans="4:18" ht="12" customHeight="1" x14ac:dyDescent="0.15">
      <c r="D32" s="77" t="s">
        <v>51</v>
      </c>
    </row>
    <row r="33" spans="4:16" ht="12" customHeight="1" x14ac:dyDescent="0.15">
      <c r="D33" s="17" t="s">
        <v>17</v>
      </c>
      <c r="G33" s="32">
        <v>-460.93927400000001</v>
      </c>
      <c r="H33" s="32">
        <v>-434.74217041442603</v>
      </c>
      <c r="I33" s="32">
        <v>458.0776943341657</v>
      </c>
      <c r="J33" s="32">
        <v>952.44357284340731</v>
      </c>
      <c r="K33" s="32">
        <v>2314.1461000358804</v>
      </c>
      <c r="L33" s="32">
        <v>3454.0736762517445</v>
      </c>
      <c r="M33" s="32">
        <v>4619.711971649398</v>
      </c>
      <c r="N33" s="32">
        <v>5396.0316638787717</v>
      </c>
      <c r="O33" s="32">
        <v>6291.7916751746452</v>
      </c>
      <c r="P33" s="32">
        <v>7324.4965479728744</v>
      </c>
    </row>
    <row r="34" spans="4:16" ht="12" customHeight="1" x14ac:dyDescent="0.15">
      <c r="D34" s="17" t="s">
        <v>18</v>
      </c>
      <c r="G34" s="35">
        <v>-0.70579729464870866</v>
      </c>
      <c r="H34" s="35">
        <v>-0.1938885108783899</v>
      </c>
      <c r="I34" s="35">
        <v>5.2892118007068951E-2</v>
      </c>
      <c r="J34" s="35">
        <v>4.8047009078450345E-2</v>
      </c>
      <c r="K34" s="35">
        <v>9.0671466263887737E-2</v>
      </c>
      <c r="L34" s="35">
        <v>9.3852576879361146E-2</v>
      </c>
      <c r="M34" s="35">
        <v>9.6941033787587547E-2</v>
      </c>
      <c r="N34" s="35">
        <v>9.9939535640234639E-2</v>
      </c>
      <c r="O34" s="35">
        <v>0.10285070248746477</v>
      </c>
      <c r="P34" s="35">
        <v>0.10567707806729985</v>
      </c>
    </row>
    <row r="35" spans="4:16" ht="7.5" customHeight="1" x14ac:dyDescent="0.15"/>
    <row r="36" spans="4:16" ht="18" x14ac:dyDescent="0.2">
      <c r="D36" s="16" t="s">
        <v>52</v>
      </c>
    </row>
    <row r="37" spans="4:16" ht="11.25" customHeight="1" x14ac:dyDescent="0.15">
      <c r="D37" s="19" t="s">
        <v>1</v>
      </c>
      <c r="F37" s="40"/>
      <c r="G37" s="22" t="s">
        <v>2</v>
      </c>
      <c r="H37" s="22"/>
      <c r="I37" s="22"/>
      <c r="J37" s="22"/>
      <c r="K37" s="22"/>
      <c r="L37" s="22"/>
      <c r="M37" s="22"/>
      <c r="N37" s="22"/>
      <c r="O37" s="22"/>
      <c r="P37" s="22"/>
    </row>
    <row r="38" spans="4:16" ht="11.25" customHeight="1" x14ac:dyDescent="0.15">
      <c r="F38" s="41">
        <v>0</v>
      </c>
      <c r="G38" s="41">
        <v>1</v>
      </c>
      <c r="H38" s="41">
        <v>2</v>
      </c>
      <c r="I38" s="41">
        <v>3</v>
      </c>
      <c r="J38" s="41">
        <v>4</v>
      </c>
      <c r="K38" s="41">
        <v>5</v>
      </c>
      <c r="L38" s="41">
        <v>6</v>
      </c>
      <c r="M38" s="41">
        <v>7</v>
      </c>
      <c r="N38" s="41">
        <v>8</v>
      </c>
      <c r="O38" s="41">
        <v>9</v>
      </c>
      <c r="P38" s="41">
        <v>10</v>
      </c>
    </row>
    <row r="39" spans="4:16" ht="11.25" customHeight="1" x14ac:dyDescent="0.15">
      <c r="D39" s="17" t="s">
        <v>53</v>
      </c>
    </row>
    <row r="40" spans="4:16" ht="11.25" customHeight="1" x14ac:dyDescent="0.15">
      <c r="D40" s="17" t="s">
        <v>54</v>
      </c>
      <c r="G40" s="32">
        <v>-464.33927399999999</v>
      </c>
      <c r="H40" s="32">
        <v>-444.39549159841852</v>
      </c>
      <c r="I40" s="32">
        <v>267.1589450551495</v>
      </c>
      <c r="J40" s="32">
        <v>532.83808960340775</v>
      </c>
      <c r="K40" s="32">
        <v>1346.2841863069759</v>
      </c>
      <c r="L40" s="32">
        <v>1983.9026035563281</v>
      </c>
      <c r="M40" s="32">
        <v>2607.7640706954808</v>
      </c>
      <c r="N40" s="32">
        <v>2960.7725902676311</v>
      </c>
      <c r="O40" s="32">
        <v>3371.2546129428733</v>
      </c>
      <c r="P40" s="32">
        <v>3847.9064516339258</v>
      </c>
    </row>
    <row r="41" spans="4:16" ht="11.25" customHeight="1" x14ac:dyDescent="0.15">
      <c r="D41" s="17" t="s">
        <v>55</v>
      </c>
      <c r="G41" s="32">
        <v>3.4</v>
      </c>
      <c r="H41" s="32">
        <v>9.6533211839924835</v>
      </c>
      <c r="I41" s="32">
        <v>47.063932710858793</v>
      </c>
      <c r="J41" s="32">
        <v>132.6926657612417</v>
      </c>
      <c r="K41" s="32">
        <v>242.93965956360972</v>
      </c>
      <c r="L41" s="32">
        <v>401.91582462662433</v>
      </c>
      <c r="M41" s="32">
        <v>607.76724750250492</v>
      </c>
      <c r="N41" s="32">
        <v>840.99690962087766</v>
      </c>
      <c r="O41" s="32">
        <v>1105.2461168009941</v>
      </c>
      <c r="P41" s="32">
        <v>1404.640468536066</v>
      </c>
    </row>
    <row r="42" spans="4:16" ht="11.25" customHeight="1" x14ac:dyDescent="0.15">
      <c r="D42" s="17" t="s">
        <v>56</v>
      </c>
      <c r="G42" s="51">
        <v>7.0526178766832528</v>
      </c>
      <c r="H42" s="51">
        <v>24.213988043279166</v>
      </c>
      <c r="I42" s="51">
        <v>187.05305763433157</v>
      </c>
      <c r="J42" s="51">
        <v>428.14366525191457</v>
      </c>
      <c r="K42" s="51">
        <v>551.23496901183989</v>
      </c>
      <c r="L42" s="51">
        <v>794.88082531507303</v>
      </c>
      <c r="M42" s="51">
        <v>1029.2571143794032</v>
      </c>
      <c r="N42" s="51">
        <v>1166.1483105918642</v>
      </c>
      <c r="O42" s="51">
        <v>1321.246035900582</v>
      </c>
      <c r="P42" s="51">
        <v>1496.9717586753598</v>
      </c>
    </row>
    <row r="43" spans="4:16" ht="11.25" customHeight="1" x14ac:dyDescent="0.15">
      <c r="D43" s="17" t="s">
        <v>57</v>
      </c>
      <c r="G43" s="73">
        <v>-10.929160999915098</v>
      </c>
      <c r="H43" s="73">
        <v>-27.875513586727578</v>
      </c>
      <c r="I43" s="73">
        <v>-100.33115077944447</v>
      </c>
      <c r="J43" s="73">
        <v>-156.02427066545374</v>
      </c>
      <c r="K43" s="73">
        <v>-42.232494087268833</v>
      </c>
      <c r="L43" s="73">
        <v>-144.57819928175672</v>
      </c>
      <c r="M43" s="73">
        <v>-136.39337778230083</v>
      </c>
      <c r="N43" s="73">
        <v>-75.951366902275367</v>
      </c>
      <c r="O43" s="73">
        <v>-85.423791966972203</v>
      </c>
      <c r="P43" s="73">
        <v>-96.093138891945273</v>
      </c>
    </row>
    <row r="44" spans="4:16" ht="11.25" customHeight="1" x14ac:dyDescent="0.15">
      <c r="D44" s="17" t="s">
        <v>53</v>
      </c>
      <c r="G44" s="32">
        <v>-457.06273087676817</v>
      </c>
      <c r="H44" s="32">
        <v>-431.08064487097761</v>
      </c>
      <c r="I44" s="32">
        <v>227.50097091112121</v>
      </c>
      <c r="J44" s="32">
        <v>393.41136077818857</v>
      </c>
      <c r="K44" s="32">
        <v>1080.2213709460145</v>
      </c>
      <c r="L44" s="32">
        <v>1735.5158021496363</v>
      </c>
      <c r="M44" s="32">
        <v>2322.6675816008833</v>
      </c>
      <c r="N44" s="32">
        <v>2711.5725561989202</v>
      </c>
      <c r="O44" s="32">
        <v>3240.6784858102583</v>
      </c>
      <c r="P44" s="32">
        <v>3851.6683003865774</v>
      </c>
    </row>
    <row r="45" spans="4:16" ht="7.5" customHeight="1" x14ac:dyDescent="0.15"/>
    <row r="46" spans="4:16" ht="11.25" customHeight="1" x14ac:dyDescent="0.15">
      <c r="D46" s="17" t="s">
        <v>58</v>
      </c>
    </row>
    <row r="47" spans="4:16" ht="11.25" customHeight="1" x14ac:dyDescent="0.15">
      <c r="D47" s="17" t="s">
        <v>59</v>
      </c>
      <c r="F47" s="32">
        <v>-17</v>
      </c>
      <c r="G47" s="32"/>
      <c r="H47" s="32"/>
      <c r="I47" s="32"/>
      <c r="J47" s="32"/>
      <c r="K47" s="32"/>
      <c r="L47" s="78"/>
      <c r="N47" s="79" t="s">
        <v>60</v>
      </c>
      <c r="O47" s="79" t="s">
        <v>61</v>
      </c>
      <c r="P47" s="32"/>
    </row>
    <row r="48" spans="4:16" ht="11.25" customHeight="1" x14ac:dyDescent="0.15">
      <c r="D48" s="17" t="s">
        <v>62</v>
      </c>
      <c r="F48" s="32">
        <v>154.50000000000003</v>
      </c>
      <c r="G48" s="32"/>
      <c r="H48" s="32"/>
      <c r="I48" s="32"/>
      <c r="J48" s="32"/>
      <c r="K48" s="32"/>
      <c r="L48" s="80"/>
      <c r="M48" s="81" t="s">
        <v>63</v>
      </c>
      <c r="N48" s="35">
        <v>0.16052487895553202</v>
      </c>
      <c r="O48" s="35">
        <v>0.56783618773888844</v>
      </c>
      <c r="P48" s="32"/>
    </row>
    <row r="49" spans="1:18" ht="11.25" customHeight="1" x14ac:dyDescent="0.15">
      <c r="D49" s="17" t="s">
        <v>64</v>
      </c>
      <c r="F49" s="32">
        <v>-154.50000000000003</v>
      </c>
      <c r="G49" s="32"/>
      <c r="H49" s="32"/>
      <c r="I49" s="32"/>
      <c r="J49" s="32"/>
      <c r="K49" s="32"/>
      <c r="L49" s="80"/>
      <c r="M49" s="81" t="s">
        <v>65</v>
      </c>
      <c r="N49" s="82">
        <v>1.6204184312859662</v>
      </c>
      <c r="O49" s="82">
        <v>14.824793089802842</v>
      </c>
      <c r="P49" s="32"/>
    </row>
    <row r="50" spans="1:18" ht="11.25" customHeight="1" x14ac:dyDescent="0.15">
      <c r="A50" s="56"/>
      <c r="B50" s="56"/>
      <c r="C50" s="56"/>
      <c r="D50" s="17" t="s">
        <v>66</v>
      </c>
      <c r="F50" s="44">
        <v>-144.66800000000001</v>
      </c>
      <c r="G50" s="44"/>
      <c r="H50" s="44"/>
      <c r="I50" s="44"/>
      <c r="J50" s="44"/>
      <c r="K50" s="44"/>
      <c r="L50" s="44"/>
      <c r="M50" s="44"/>
      <c r="N50" s="44"/>
      <c r="O50" s="44"/>
      <c r="P50" s="44"/>
    </row>
    <row r="51" spans="1:18" ht="11.25" customHeight="1" x14ac:dyDescent="0.15">
      <c r="A51" s="56"/>
      <c r="B51" s="56"/>
      <c r="C51" s="56"/>
      <c r="D51" s="17" t="s">
        <v>67</v>
      </c>
      <c r="F51" s="32">
        <v>-161.66800000000001</v>
      </c>
      <c r="G51" s="32">
        <v>-457.06273087676817</v>
      </c>
      <c r="H51" s="32">
        <v>-431.08064487097761</v>
      </c>
      <c r="I51" s="32">
        <v>227.50097091112121</v>
      </c>
      <c r="J51" s="32">
        <v>393.41136077818857</v>
      </c>
      <c r="K51" s="32">
        <v>1080.2213709460145</v>
      </c>
      <c r="L51" s="32">
        <v>1735.5158021496363</v>
      </c>
      <c r="M51" s="32">
        <v>2322.6675816008833</v>
      </c>
      <c r="N51" s="32">
        <v>2711.5725561989202</v>
      </c>
      <c r="O51" s="32">
        <v>3240.6784858102583</v>
      </c>
      <c r="P51" s="32">
        <v>3851.6683003865774</v>
      </c>
    </row>
    <row r="52" spans="1:18" x14ac:dyDescent="0.15">
      <c r="A52" s="56"/>
      <c r="B52" s="56"/>
      <c r="C52" s="56"/>
    </row>
    <row r="53" spans="1:18" x14ac:dyDescent="0.15">
      <c r="A53" s="56"/>
      <c r="B53" s="56"/>
      <c r="C53" s="56"/>
    </row>
    <row r="54" spans="1:18" x14ac:dyDescent="0.15">
      <c r="A54" s="56"/>
      <c r="B54" s="56"/>
      <c r="C54" s="56"/>
    </row>
    <row r="55" spans="1:18" x14ac:dyDescent="0.15">
      <c r="A55" s="56"/>
      <c r="B55" s="56"/>
      <c r="C55" s="56"/>
    </row>
    <row r="56" spans="1:18" x14ac:dyDescent="0.15">
      <c r="A56" s="56"/>
      <c r="B56" s="56"/>
      <c r="C56" s="56"/>
      <c r="E56" s="82"/>
    </row>
    <row r="57" spans="1:18" s="2" customFormat="1" x14ac:dyDescent="0.15">
      <c r="R57" s="3"/>
    </row>
    <row r="58" spans="1:18" s="2" customFormat="1" ht="8" customHeight="1" x14ac:dyDescent="0.15"/>
    <row r="59" spans="1:18" s="2" customFormat="1" ht="20" customHeight="1" x14ac:dyDescent="0.2">
      <c r="D59" s="83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8"/>
      <c r="P59" s="8"/>
      <c r="Q59" s="8"/>
      <c r="R59" s="8"/>
    </row>
    <row r="60" spans="1:18" s="2" customFormat="1" ht="3" customHeight="1" x14ac:dyDescent="0.2">
      <c r="D60" s="84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12"/>
      <c r="P60" s="12"/>
      <c r="Q60" s="12"/>
      <c r="R60" s="12"/>
    </row>
    <row r="61" spans="1:18" s="2" customFormat="1" ht="2" customHeight="1" x14ac:dyDescent="0.15"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</row>
    <row r="62" spans="1:18" s="2" customFormat="1" ht="5.25" customHeight="1" x14ac:dyDescent="0.15"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</row>
    <row r="63" spans="1:18" s="18" customFormat="1" x14ac:dyDescent="0.15">
      <c r="A63" s="85"/>
      <c r="B63" s="85"/>
      <c r="C63" s="85"/>
    </row>
    <row r="64" spans="1:18" x14ac:dyDescent="0.15">
      <c r="A64" s="56"/>
      <c r="B64" s="56"/>
      <c r="C64" s="56"/>
    </row>
    <row r="65" spans="1:3" x14ac:dyDescent="0.15">
      <c r="A65" s="56"/>
      <c r="B65" s="56"/>
      <c r="C65" s="56"/>
    </row>
    <row r="66" spans="1:3" x14ac:dyDescent="0.15">
      <c r="A66" s="56"/>
      <c r="B66" s="56"/>
      <c r="C66" s="56"/>
    </row>
    <row r="67" spans="1:3" x14ac:dyDescent="0.15">
      <c r="A67" s="56"/>
      <c r="B67" s="56"/>
      <c r="C67" s="56"/>
    </row>
    <row r="68" spans="1:3" x14ac:dyDescent="0.15">
      <c r="A68" s="56"/>
      <c r="B68" s="56"/>
      <c r="C68" s="56"/>
    </row>
    <row r="69" spans="1:3" x14ac:dyDescent="0.15">
      <c r="A69" s="56"/>
      <c r="B69" s="56"/>
      <c r="C69" s="56"/>
    </row>
    <row r="70" spans="1:3" x14ac:dyDescent="0.15">
      <c r="A70" s="56"/>
      <c r="B70" s="56"/>
      <c r="C70" s="56"/>
    </row>
    <row r="71" spans="1:3" x14ac:dyDescent="0.15">
      <c r="A71" s="56"/>
      <c r="B71" s="56"/>
      <c r="C71" s="56"/>
    </row>
    <row r="72" spans="1:3" x14ac:dyDescent="0.15">
      <c r="A72" s="56"/>
      <c r="B72" s="56"/>
      <c r="C72" s="56"/>
    </row>
    <row r="73" spans="1:3" x14ac:dyDescent="0.15">
      <c r="A73" s="56"/>
      <c r="B73" s="56"/>
      <c r="C73" s="56"/>
    </row>
    <row r="74" spans="1:3" x14ac:dyDescent="0.15">
      <c r="A74" s="56"/>
      <c r="B74" s="56"/>
      <c r="C74" s="56"/>
    </row>
    <row r="75" spans="1:3" x14ac:dyDescent="0.15">
      <c r="A75" s="56"/>
      <c r="B75" s="56"/>
      <c r="C75" s="56"/>
    </row>
    <row r="76" spans="1:3" x14ac:dyDescent="0.15">
      <c r="A76" s="56"/>
      <c r="B76" s="56"/>
      <c r="C76" s="56"/>
    </row>
    <row r="77" spans="1:3" x14ac:dyDescent="0.15">
      <c r="A77" s="56"/>
      <c r="B77" s="56"/>
      <c r="C77" s="56"/>
    </row>
    <row r="78" spans="1:3" x14ac:dyDescent="0.15">
      <c r="A78" s="56"/>
      <c r="B78" s="56"/>
      <c r="C78" s="56"/>
    </row>
    <row r="79" spans="1:3" x14ac:dyDescent="0.15">
      <c r="A79" s="56"/>
      <c r="B79" s="56"/>
      <c r="C79" s="56"/>
    </row>
    <row r="80" spans="1:3" x14ac:dyDescent="0.15">
      <c r="A80" s="56"/>
      <c r="B80" s="56"/>
      <c r="C80" s="56"/>
    </row>
    <row r="81" spans="1:3" x14ac:dyDescent="0.15">
      <c r="A81" s="56"/>
      <c r="B81" s="56"/>
      <c r="C81" s="56"/>
    </row>
    <row r="82" spans="1:3" x14ac:dyDescent="0.15">
      <c r="A82" s="56"/>
      <c r="B82" s="56"/>
      <c r="C82" s="56"/>
    </row>
    <row r="83" spans="1:3" x14ac:dyDescent="0.15">
      <c r="A83" s="56"/>
      <c r="B83" s="56"/>
      <c r="C83" s="56"/>
    </row>
    <row r="84" spans="1:3" x14ac:dyDescent="0.15">
      <c r="A84" s="56"/>
      <c r="B84" s="56"/>
      <c r="C84" s="56"/>
    </row>
    <row r="85" spans="1:3" x14ac:dyDescent="0.15">
      <c r="A85" s="56"/>
      <c r="B85" s="56"/>
      <c r="C85" s="56"/>
    </row>
    <row r="86" spans="1:3" x14ac:dyDescent="0.15">
      <c r="A86" s="56"/>
      <c r="B86" s="56"/>
      <c r="C86" s="56"/>
    </row>
    <row r="87" spans="1:3" x14ac:dyDescent="0.15">
      <c r="A87" s="56"/>
      <c r="B87" s="56"/>
      <c r="C87" s="56"/>
    </row>
    <row r="88" spans="1:3" x14ac:dyDescent="0.15">
      <c r="A88" s="56"/>
      <c r="B88" s="56"/>
      <c r="C88" s="56"/>
    </row>
    <row r="89" spans="1:3" x14ac:dyDescent="0.15">
      <c r="A89" s="56"/>
      <c r="B89" s="56"/>
      <c r="C89" s="56"/>
    </row>
    <row r="90" spans="1:3" x14ac:dyDescent="0.15">
      <c r="A90" s="56"/>
      <c r="B90" s="56"/>
      <c r="C90" s="56"/>
    </row>
    <row r="91" spans="1:3" x14ac:dyDescent="0.15">
      <c r="A91" s="56"/>
      <c r="B91" s="56"/>
      <c r="C91" s="56"/>
    </row>
    <row r="92" spans="1:3" x14ac:dyDescent="0.15">
      <c r="A92" s="56"/>
      <c r="B92" s="56"/>
      <c r="C92" s="56"/>
    </row>
    <row r="93" spans="1:3" x14ac:dyDescent="0.15">
      <c r="A93" s="56"/>
      <c r="B93" s="56"/>
      <c r="C93" s="56"/>
    </row>
    <row r="94" spans="1:3" x14ac:dyDescent="0.15">
      <c r="A94" s="56"/>
      <c r="B94" s="56"/>
      <c r="C94" s="56"/>
    </row>
    <row r="95" spans="1:3" x14ac:dyDescent="0.15">
      <c r="A95" s="56"/>
      <c r="B95" s="56"/>
      <c r="C95" s="56"/>
    </row>
    <row r="96" spans="1:3" x14ac:dyDescent="0.15">
      <c r="A96" s="56"/>
      <c r="B96" s="56"/>
      <c r="C96" s="56"/>
    </row>
    <row r="97" spans="1:3" x14ac:dyDescent="0.15">
      <c r="A97" s="56"/>
      <c r="B97" s="56"/>
      <c r="C97" s="56"/>
    </row>
    <row r="98" spans="1:3" x14ac:dyDescent="0.15">
      <c r="A98" s="56"/>
      <c r="B98" s="56"/>
      <c r="C98" s="56"/>
    </row>
    <row r="99" spans="1:3" x14ac:dyDescent="0.15">
      <c r="A99" s="56"/>
      <c r="B99" s="56"/>
      <c r="C99" s="56"/>
    </row>
    <row r="100" spans="1:3" x14ac:dyDescent="0.15">
      <c r="A100" s="56"/>
      <c r="B100" s="56"/>
      <c r="C100" s="56"/>
    </row>
    <row r="101" spans="1:3" x14ac:dyDescent="0.15">
      <c r="A101" s="56"/>
      <c r="B101" s="56"/>
      <c r="C101" s="56"/>
    </row>
    <row r="102" spans="1:3" x14ac:dyDescent="0.15">
      <c r="A102" s="56"/>
      <c r="B102" s="56"/>
      <c r="C102" s="56"/>
    </row>
    <row r="103" spans="1:3" x14ac:dyDescent="0.15">
      <c r="A103" s="56"/>
      <c r="B103" s="56"/>
      <c r="C103" s="56"/>
    </row>
    <row r="104" spans="1:3" x14ac:dyDescent="0.15">
      <c r="A104" s="56"/>
      <c r="B104" s="56"/>
      <c r="C104" s="56"/>
    </row>
    <row r="105" spans="1:3" x14ac:dyDescent="0.15">
      <c r="A105" s="56"/>
      <c r="B105" s="56"/>
      <c r="C105" s="56"/>
    </row>
    <row r="106" spans="1:3" x14ac:dyDescent="0.15">
      <c r="A106" s="56"/>
      <c r="B106" s="56"/>
      <c r="C106" s="56"/>
    </row>
    <row r="107" spans="1:3" x14ac:dyDescent="0.15">
      <c r="A107" s="56"/>
      <c r="B107" s="56"/>
      <c r="C107" s="56"/>
    </row>
    <row r="108" spans="1:3" x14ac:dyDescent="0.15">
      <c r="A108" s="56"/>
      <c r="B108" s="56"/>
      <c r="C108" s="56"/>
    </row>
    <row r="109" spans="1:3" x14ac:dyDescent="0.15">
      <c r="A109" s="56"/>
      <c r="B109" s="56"/>
      <c r="C109" s="56"/>
    </row>
    <row r="110" spans="1:3" x14ac:dyDescent="0.15">
      <c r="A110" s="56"/>
      <c r="B110" s="56"/>
      <c r="C110" s="56"/>
    </row>
    <row r="111" spans="1:3" x14ac:dyDescent="0.15">
      <c r="A111" s="56"/>
      <c r="B111" s="56"/>
      <c r="C111" s="56"/>
    </row>
    <row r="112" spans="1:3" x14ac:dyDescent="0.15">
      <c r="A112" s="56"/>
      <c r="B112" s="56"/>
      <c r="C112" s="56"/>
    </row>
    <row r="113" spans="1:3" x14ac:dyDescent="0.15">
      <c r="A113" s="56"/>
      <c r="B113" s="56"/>
      <c r="C113" s="56"/>
    </row>
    <row r="114" spans="1:3" x14ac:dyDescent="0.15">
      <c r="A114" s="56"/>
      <c r="B114" s="56"/>
      <c r="C114" s="56"/>
    </row>
    <row r="115" spans="1:3" x14ac:dyDescent="0.15">
      <c r="A115" s="56"/>
      <c r="B115" s="56"/>
      <c r="C115" s="56"/>
    </row>
    <row r="116" spans="1:3" x14ac:dyDescent="0.15">
      <c r="A116" s="56"/>
      <c r="B116" s="56"/>
      <c r="C116" s="56"/>
    </row>
    <row r="117" spans="1:3" x14ac:dyDescent="0.15">
      <c r="A117" s="56"/>
      <c r="B117" s="56"/>
      <c r="C117" s="56"/>
    </row>
    <row r="118" spans="1:3" x14ac:dyDescent="0.15">
      <c r="A118" s="56"/>
      <c r="B118" s="56"/>
      <c r="C118" s="56"/>
    </row>
    <row r="119" spans="1:3" x14ac:dyDescent="0.15">
      <c r="A119" s="56"/>
      <c r="B119" s="56"/>
      <c r="C119" s="56"/>
    </row>
    <row r="120" spans="1:3" x14ac:dyDescent="0.15">
      <c r="A120" s="56"/>
      <c r="B120" s="56"/>
      <c r="C120" s="56"/>
    </row>
    <row r="121" spans="1:3" x14ac:dyDescent="0.15">
      <c r="A121" s="56"/>
      <c r="B121" s="56"/>
      <c r="C121" s="56"/>
    </row>
    <row r="122" spans="1:3" x14ac:dyDescent="0.15">
      <c r="A122" s="56"/>
      <c r="B122" s="56"/>
      <c r="C122" s="56"/>
    </row>
    <row r="123" spans="1:3" x14ac:dyDescent="0.15">
      <c r="A123" s="56"/>
      <c r="B123" s="56"/>
      <c r="C123" s="56"/>
    </row>
    <row r="124" spans="1:3" x14ac:dyDescent="0.15">
      <c r="A124" s="56"/>
      <c r="B124" s="56"/>
      <c r="C124" s="56"/>
    </row>
    <row r="125" spans="1:3" x14ac:dyDescent="0.15">
      <c r="A125" s="56"/>
      <c r="B125" s="56"/>
      <c r="C125" s="56"/>
    </row>
    <row r="126" spans="1:3" x14ac:dyDescent="0.15">
      <c r="A126" s="56"/>
      <c r="B126" s="56"/>
      <c r="C126" s="56"/>
    </row>
    <row r="127" spans="1:3" x14ac:dyDescent="0.15">
      <c r="A127" s="56"/>
      <c r="B127" s="56"/>
      <c r="C127" s="56"/>
    </row>
    <row r="128" spans="1:3" x14ac:dyDescent="0.15">
      <c r="A128" s="56"/>
      <c r="B128" s="56"/>
      <c r="C128" s="56"/>
    </row>
    <row r="129" spans="1:3" x14ac:dyDescent="0.15">
      <c r="A129" s="56"/>
      <c r="B129" s="56"/>
      <c r="C129" s="56"/>
    </row>
    <row r="130" spans="1:3" x14ac:dyDescent="0.15">
      <c r="A130" s="56"/>
      <c r="B130" s="56"/>
      <c r="C130" s="56"/>
    </row>
    <row r="131" spans="1:3" x14ac:dyDescent="0.15">
      <c r="A131" s="56"/>
      <c r="B131" s="56"/>
      <c r="C131" s="56"/>
    </row>
    <row r="132" spans="1:3" x14ac:dyDescent="0.15">
      <c r="A132" s="56"/>
      <c r="B132" s="56"/>
      <c r="C132" s="56"/>
    </row>
    <row r="133" spans="1:3" x14ac:dyDescent="0.15">
      <c r="A133" s="56"/>
      <c r="B133" s="56"/>
      <c r="C133" s="56"/>
    </row>
    <row r="134" spans="1:3" x14ac:dyDescent="0.15">
      <c r="A134" s="56"/>
      <c r="B134" s="56"/>
      <c r="C134" s="56"/>
    </row>
    <row r="135" spans="1:3" x14ac:dyDescent="0.15">
      <c r="A135" s="56"/>
      <c r="B135" s="56"/>
      <c r="C135" s="56"/>
    </row>
    <row r="136" spans="1:3" x14ac:dyDescent="0.15">
      <c r="A136" s="56"/>
      <c r="B136" s="56"/>
      <c r="C136" s="56"/>
    </row>
    <row r="137" spans="1:3" x14ac:dyDescent="0.15">
      <c r="A137" s="56"/>
      <c r="B137" s="56"/>
      <c r="C137" s="56"/>
    </row>
    <row r="138" spans="1:3" x14ac:dyDescent="0.15">
      <c r="A138" s="56"/>
      <c r="B138" s="56"/>
      <c r="C138" s="56"/>
    </row>
    <row r="139" spans="1:3" x14ac:dyDescent="0.15">
      <c r="A139" s="56"/>
      <c r="B139" s="56"/>
      <c r="C139" s="56"/>
    </row>
    <row r="140" spans="1:3" x14ac:dyDescent="0.15">
      <c r="A140" s="56"/>
      <c r="B140" s="56"/>
      <c r="C140" s="56"/>
    </row>
    <row r="141" spans="1:3" x14ac:dyDescent="0.15">
      <c r="A141" s="56"/>
      <c r="B141" s="56"/>
      <c r="C141" s="56"/>
    </row>
    <row r="142" spans="1:3" x14ac:dyDescent="0.15">
      <c r="A142" s="56"/>
      <c r="B142" s="56"/>
      <c r="C142" s="56"/>
    </row>
    <row r="143" spans="1:3" x14ac:dyDescent="0.15">
      <c r="A143" s="56"/>
      <c r="B143" s="56"/>
      <c r="C143" s="56"/>
    </row>
    <row r="144" spans="1:3" x14ac:dyDescent="0.15">
      <c r="A144" s="56"/>
      <c r="B144" s="56"/>
      <c r="C144" s="56"/>
    </row>
    <row r="145" spans="1:3" x14ac:dyDescent="0.15">
      <c r="A145" s="56"/>
      <c r="B145" s="56"/>
      <c r="C145" s="56"/>
    </row>
    <row r="146" spans="1:3" x14ac:dyDescent="0.15">
      <c r="A146" s="56"/>
      <c r="B146" s="56"/>
      <c r="C146" s="56"/>
    </row>
    <row r="147" spans="1:3" x14ac:dyDescent="0.15">
      <c r="A147" s="56"/>
      <c r="B147" s="56"/>
      <c r="C147" s="56"/>
    </row>
    <row r="148" spans="1:3" x14ac:dyDescent="0.15">
      <c r="A148" s="56"/>
      <c r="B148" s="56"/>
      <c r="C148" s="56"/>
    </row>
    <row r="149" spans="1:3" x14ac:dyDescent="0.15">
      <c r="A149" s="56"/>
      <c r="B149" s="56"/>
      <c r="C149" s="56"/>
    </row>
    <row r="150" spans="1:3" x14ac:dyDescent="0.15">
      <c r="A150" s="56"/>
      <c r="B150" s="56"/>
      <c r="C150" s="56"/>
    </row>
    <row r="151" spans="1:3" x14ac:dyDescent="0.15">
      <c r="A151" s="56"/>
      <c r="B151" s="56"/>
      <c r="C151" s="56"/>
    </row>
    <row r="152" spans="1:3" x14ac:dyDescent="0.15">
      <c r="A152" s="56"/>
      <c r="B152" s="56"/>
      <c r="C152" s="56"/>
    </row>
    <row r="153" spans="1:3" x14ac:dyDescent="0.15">
      <c r="A153" s="56"/>
      <c r="B153" s="56"/>
      <c r="C153" s="56"/>
    </row>
    <row r="154" spans="1:3" x14ac:dyDescent="0.15">
      <c r="A154" s="56"/>
      <c r="B154" s="56"/>
      <c r="C154" s="56"/>
    </row>
    <row r="155" spans="1:3" x14ac:dyDescent="0.15">
      <c r="A155" s="56"/>
      <c r="B155" s="56"/>
      <c r="C155" s="56"/>
    </row>
    <row r="156" spans="1:3" x14ac:dyDescent="0.15">
      <c r="A156" s="56"/>
      <c r="B156" s="56"/>
      <c r="C156" s="56"/>
    </row>
    <row r="157" spans="1:3" x14ac:dyDescent="0.15">
      <c r="A157" s="56"/>
      <c r="B157" s="56"/>
      <c r="C157" s="56"/>
    </row>
    <row r="158" spans="1:3" x14ac:dyDescent="0.15">
      <c r="A158" s="56"/>
      <c r="B158" s="56"/>
      <c r="C158" s="56"/>
    </row>
    <row r="159" spans="1:3" x14ac:dyDescent="0.15">
      <c r="A159" s="56"/>
      <c r="B159" s="56"/>
      <c r="C159" s="56"/>
    </row>
    <row r="160" spans="1:3" x14ac:dyDescent="0.15">
      <c r="A160" s="56"/>
      <c r="B160" s="56"/>
      <c r="C160" s="56"/>
    </row>
    <row r="161" spans="1:3" x14ac:dyDescent="0.15">
      <c r="A161" s="56"/>
      <c r="B161" s="56"/>
      <c r="C161" s="56"/>
    </row>
    <row r="162" spans="1:3" x14ac:dyDescent="0.15">
      <c r="A162" s="56"/>
      <c r="B162" s="56"/>
      <c r="C162" s="56"/>
    </row>
    <row r="163" spans="1:3" x14ac:dyDescent="0.15">
      <c r="A163" s="56"/>
      <c r="B163" s="56"/>
      <c r="C163" s="56"/>
    </row>
    <row r="164" spans="1:3" x14ac:dyDescent="0.15">
      <c r="A164" s="56"/>
      <c r="B164" s="56"/>
      <c r="C164" s="56"/>
    </row>
    <row r="165" spans="1:3" x14ac:dyDescent="0.15">
      <c r="A165" s="56"/>
      <c r="B165" s="56"/>
      <c r="C165" s="56"/>
    </row>
    <row r="166" spans="1:3" x14ac:dyDescent="0.15">
      <c r="A166" s="56"/>
      <c r="B166" s="56"/>
      <c r="C166" s="56"/>
    </row>
    <row r="167" spans="1:3" x14ac:dyDescent="0.15">
      <c r="A167" s="56"/>
      <c r="B167" s="56"/>
      <c r="C167" s="56"/>
    </row>
    <row r="168" spans="1:3" x14ac:dyDescent="0.15">
      <c r="A168" s="56"/>
      <c r="B168" s="56"/>
      <c r="C168" s="56"/>
    </row>
    <row r="169" spans="1:3" x14ac:dyDescent="0.15">
      <c r="A169" s="56"/>
      <c r="B169" s="56"/>
      <c r="C169" s="56"/>
    </row>
    <row r="170" spans="1:3" x14ac:dyDescent="0.15">
      <c r="A170" s="56"/>
      <c r="B170" s="56"/>
      <c r="C170" s="56"/>
    </row>
    <row r="171" spans="1:3" x14ac:dyDescent="0.15">
      <c r="A171" s="56"/>
      <c r="B171" s="56"/>
      <c r="C171" s="56"/>
    </row>
    <row r="172" spans="1:3" x14ac:dyDescent="0.15">
      <c r="A172" s="56"/>
      <c r="B172" s="56"/>
      <c r="C172" s="56"/>
    </row>
    <row r="173" spans="1:3" x14ac:dyDescent="0.15">
      <c r="A173" s="56"/>
      <c r="B173" s="56"/>
      <c r="C173" s="56"/>
    </row>
    <row r="174" spans="1:3" x14ac:dyDescent="0.15">
      <c r="A174" s="56"/>
      <c r="B174" s="56"/>
      <c r="C174" s="56"/>
    </row>
    <row r="175" spans="1:3" x14ac:dyDescent="0.15">
      <c r="A175" s="56"/>
      <c r="B175" s="56"/>
      <c r="C175" s="56"/>
    </row>
    <row r="176" spans="1:3" x14ac:dyDescent="0.15">
      <c r="A176" s="56"/>
      <c r="B176" s="56"/>
      <c r="C176" s="56"/>
    </row>
    <row r="177" spans="1:3" x14ac:dyDescent="0.15">
      <c r="A177" s="56"/>
      <c r="B177" s="56"/>
      <c r="C177" s="56"/>
    </row>
    <row r="178" spans="1:3" x14ac:dyDescent="0.15">
      <c r="A178" s="56"/>
      <c r="B178" s="56"/>
      <c r="C178" s="56"/>
    </row>
    <row r="179" spans="1:3" x14ac:dyDescent="0.15">
      <c r="A179" s="56"/>
      <c r="B179" s="56"/>
      <c r="C179" s="56"/>
    </row>
    <row r="180" spans="1:3" x14ac:dyDescent="0.15">
      <c r="A180" s="56"/>
      <c r="B180" s="56"/>
      <c r="C180" s="56"/>
    </row>
    <row r="181" spans="1:3" x14ac:dyDescent="0.15">
      <c r="A181" s="56"/>
      <c r="B181" s="56"/>
      <c r="C181" s="56"/>
    </row>
    <row r="182" spans="1:3" x14ac:dyDescent="0.15">
      <c r="A182" s="56"/>
      <c r="B182" s="56"/>
      <c r="C182" s="56"/>
    </row>
    <row r="183" spans="1:3" x14ac:dyDescent="0.15">
      <c r="A183" s="56"/>
      <c r="B183" s="56"/>
      <c r="C183" s="56"/>
    </row>
  </sheetData>
  <pageMargins left="0.75" right="0.75" top="1" bottom="1" header="0.5" footer="0.5"/>
  <pageSetup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/>
    <pageSetUpPr fitToPage="1"/>
  </sheetPr>
  <dimension ref="A1:BC212"/>
  <sheetViews>
    <sheetView showGridLines="0" topLeftCell="A148" zoomScale="106" zoomScaleNormal="125" zoomScalePageLayoutView="125" workbookViewId="0">
      <selection activeCell="F177" sqref="F177"/>
    </sheetView>
  </sheetViews>
  <sheetFormatPr baseColWidth="10" defaultColWidth="11.5" defaultRowHeight="13" outlineLevelRow="1" outlineLevelCol="1" x14ac:dyDescent="0.15"/>
  <cols>
    <col min="1" max="2" width="3.33203125" style="1" customWidth="1"/>
    <col min="3" max="3" width="3.83203125" style="1" customWidth="1"/>
    <col min="4" max="4" width="36.5" style="39" customWidth="1"/>
    <col min="5" max="5" width="10.6640625" style="39" bestFit="1" customWidth="1"/>
    <col min="6" max="6" width="14.5" style="39" bestFit="1" customWidth="1"/>
    <col min="7" max="15" width="10.1640625" style="39" hidden="1" customWidth="1" outlineLevel="1"/>
    <col min="16" max="16" width="11.1640625" style="39" hidden="1" customWidth="1" outlineLevel="1"/>
    <col min="17" max="17" width="10.6640625" style="39" hidden="1" customWidth="1" outlineLevel="1"/>
    <col min="18" max="19" width="11.1640625" style="39" hidden="1" customWidth="1" outlineLevel="1"/>
    <col min="20" max="29" width="11.1640625" style="96" hidden="1" customWidth="1" outlineLevel="1"/>
    <col min="30" max="30" width="11.1640625" style="39" hidden="1" customWidth="1" outlineLevel="1"/>
    <col min="31" max="31" width="9.5" style="39" customWidth="1" collapsed="1"/>
    <col min="32" max="53" width="9.5" style="39" customWidth="1"/>
    <col min="54" max="63" width="10" style="39" customWidth="1"/>
    <col min="64" max="16384" width="11.5" style="39"/>
  </cols>
  <sheetData>
    <row r="1" spans="1:49" s="1" customFormat="1" ht="11.25" customHeight="1" x14ac:dyDescent="0.15">
      <c r="T1" s="19"/>
      <c r="U1" s="19"/>
      <c r="V1" s="19"/>
      <c r="W1" s="19"/>
      <c r="X1" s="19"/>
      <c r="Y1" s="19"/>
      <c r="Z1" s="19"/>
      <c r="AA1" s="19"/>
      <c r="AB1" s="19"/>
      <c r="AC1" s="19"/>
    </row>
    <row r="2" spans="1:49" s="1" customFormat="1" x14ac:dyDescent="0.15">
      <c r="T2" s="19"/>
      <c r="U2" s="19"/>
      <c r="V2" s="19"/>
      <c r="W2" s="19"/>
      <c r="X2" s="19"/>
      <c r="Y2" s="19"/>
      <c r="Z2" s="19"/>
      <c r="AA2" s="19"/>
      <c r="AB2" s="19"/>
      <c r="AC2" s="19"/>
      <c r="AN2" s="7"/>
    </row>
    <row r="3" spans="1:49" s="1" customFormat="1" ht="20" customHeight="1" x14ac:dyDescent="0.25">
      <c r="D3" s="4" t="s">
        <v>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90"/>
      <c r="U3" s="90"/>
      <c r="V3" s="90"/>
      <c r="W3" s="90"/>
      <c r="X3" s="90"/>
      <c r="Y3" s="90"/>
      <c r="Z3" s="90"/>
      <c r="AA3" s="90"/>
      <c r="AB3" s="90"/>
      <c r="AC3" s="90"/>
      <c r="AD3" s="5"/>
      <c r="AE3" s="5"/>
      <c r="AF3" s="5"/>
      <c r="AG3" s="5"/>
      <c r="AH3" s="5"/>
      <c r="AI3" s="5"/>
      <c r="AJ3" s="5"/>
      <c r="AK3" s="5"/>
      <c r="AL3" s="5"/>
      <c r="AM3" s="6"/>
      <c r="AN3" s="7" t="str">
        <f ca="1">UPPER(ProjName)&amp;"  |  "&amp;UPPER(TEXT(NOW(),"mmmm d, yyyy"))</f>
        <v>ZIPFIT.ME  |  SEPTEMBER 12, 2016</v>
      </c>
    </row>
    <row r="4" spans="1:49" s="1" customFormat="1" ht="3" customHeight="1" x14ac:dyDescent="0.2"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1"/>
      <c r="U4" s="91"/>
      <c r="V4" s="91"/>
      <c r="W4" s="91"/>
      <c r="X4" s="91"/>
      <c r="Y4" s="91"/>
      <c r="Z4" s="91"/>
      <c r="AA4" s="91"/>
      <c r="AB4" s="91"/>
      <c r="AC4" s="91"/>
      <c r="AD4" s="10"/>
      <c r="AE4" s="10"/>
      <c r="AF4" s="10"/>
      <c r="AG4" s="10"/>
      <c r="AH4" s="10"/>
      <c r="AI4" s="10"/>
      <c r="AJ4" s="10"/>
      <c r="AK4" s="11"/>
      <c r="AL4" s="11"/>
      <c r="AM4" s="11"/>
      <c r="AN4" s="11"/>
    </row>
    <row r="5" spans="1:49" s="1" customFormat="1" ht="2" customHeight="1" x14ac:dyDescent="0.15"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92"/>
      <c r="U5" s="92"/>
      <c r="V5" s="92"/>
      <c r="W5" s="92"/>
      <c r="X5" s="92"/>
      <c r="Y5" s="92"/>
      <c r="Z5" s="92"/>
      <c r="AA5" s="92"/>
      <c r="AB5" s="92"/>
      <c r="AC5" s="92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</row>
    <row r="6" spans="1:49" s="1" customFormat="1" ht="5.25" customHeight="1" x14ac:dyDescent="0.15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93"/>
      <c r="U6" s="93"/>
      <c r="V6" s="93"/>
      <c r="W6" s="93"/>
      <c r="X6" s="93"/>
      <c r="Y6" s="93"/>
      <c r="Z6" s="93"/>
      <c r="AA6" s="93"/>
      <c r="AB6" s="93"/>
      <c r="AC6" s="93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</row>
    <row r="7" spans="1:49" s="1" customFormat="1" ht="18" x14ac:dyDescent="0.2">
      <c r="D7" s="16" t="s">
        <v>68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90"/>
      <c r="U7" s="90"/>
      <c r="V7" s="90"/>
      <c r="W7" s="90"/>
      <c r="X7" s="90"/>
      <c r="Y7" s="90"/>
      <c r="Z7" s="90"/>
      <c r="AA7" s="90"/>
      <c r="AB7" s="90"/>
      <c r="AC7" s="90"/>
      <c r="AD7" s="5"/>
      <c r="AE7" s="94"/>
      <c r="AF7" s="94"/>
      <c r="AG7" s="94"/>
      <c r="AH7" s="94"/>
      <c r="AI7" s="94"/>
      <c r="AJ7" s="95"/>
      <c r="AK7" s="95"/>
      <c r="AL7" s="95"/>
      <c r="AM7" s="95"/>
      <c r="AN7" s="95"/>
    </row>
    <row r="8" spans="1:49" s="1" customFormat="1" x14ac:dyDescent="0.15">
      <c r="D8" s="19" t="s">
        <v>1</v>
      </c>
      <c r="T8" s="19"/>
      <c r="U8" s="19"/>
      <c r="V8" s="19"/>
      <c r="W8" s="19"/>
      <c r="X8" s="19"/>
      <c r="Y8" s="19"/>
      <c r="Z8" s="19"/>
      <c r="AA8" s="19"/>
      <c r="AB8" s="19"/>
      <c r="AC8" s="19"/>
    </row>
    <row r="9" spans="1:49" x14ac:dyDescent="0.15">
      <c r="D9" s="96"/>
      <c r="F9" s="20" t="s">
        <v>69</v>
      </c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8"/>
      <c r="U9" s="98"/>
      <c r="V9" s="98"/>
      <c r="W9" s="98"/>
      <c r="X9" s="98"/>
      <c r="Y9" s="98"/>
      <c r="Z9" s="98"/>
      <c r="AA9" s="98"/>
      <c r="AB9" s="98"/>
      <c r="AC9" s="98"/>
      <c r="AD9" s="97"/>
      <c r="AE9" s="20" t="s">
        <v>70</v>
      </c>
      <c r="AF9" s="97"/>
      <c r="AG9" s="97"/>
      <c r="AH9" s="97"/>
      <c r="AI9" s="97"/>
      <c r="AJ9" s="97"/>
      <c r="AK9" s="97"/>
      <c r="AL9" s="97"/>
      <c r="AM9" s="97"/>
      <c r="AN9" s="97"/>
    </row>
    <row r="10" spans="1:49" x14ac:dyDescent="0.15">
      <c r="D10" s="99" t="s">
        <v>71</v>
      </c>
      <c r="E10" s="100"/>
      <c r="F10" s="101">
        <v>0</v>
      </c>
      <c r="G10" s="102">
        <v>1</v>
      </c>
      <c r="H10" s="102">
        <f>G10+1</f>
        <v>2</v>
      </c>
      <c r="I10" s="102">
        <f t="shared" ref="I10:AD10" si="0">H10+1</f>
        <v>3</v>
      </c>
      <c r="J10" s="102">
        <f t="shared" si="0"/>
        <v>4</v>
      </c>
      <c r="K10" s="102">
        <f t="shared" si="0"/>
        <v>5</v>
      </c>
      <c r="L10" s="102">
        <f t="shared" si="0"/>
        <v>6</v>
      </c>
      <c r="M10" s="102">
        <f t="shared" si="0"/>
        <v>7</v>
      </c>
      <c r="N10" s="102">
        <f t="shared" si="0"/>
        <v>8</v>
      </c>
      <c r="O10" s="102">
        <f t="shared" si="0"/>
        <v>9</v>
      </c>
      <c r="P10" s="102">
        <f t="shared" si="0"/>
        <v>10</v>
      </c>
      <c r="Q10" s="102">
        <f t="shared" si="0"/>
        <v>11</v>
      </c>
      <c r="R10" s="102">
        <f t="shared" si="0"/>
        <v>12</v>
      </c>
      <c r="S10" s="102">
        <f t="shared" si="0"/>
        <v>13</v>
      </c>
      <c r="T10" s="102">
        <f t="shared" si="0"/>
        <v>14</v>
      </c>
      <c r="U10" s="102">
        <f t="shared" si="0"/>
        <v>15</v>
      </c>
      <c r="V10" s="102">
        <f t="shared" si="0"/>
        <v>16</v>
      </c>
      <c r="W10" s="102">
        <f t="shared" si="0"/>
        <v>17</v>
      </c>
      <c r="X10" s="102">
        <f t="shared" si="0"/>
        <v>18</v>
      </c>
      <c r="Y10" s="102">
        <f t="shared" si="0"/>
        <v>19</v>
      </c>
      <c r="Z10" s="102">
        <f t="shared" si="0"/>
        <v>20</v>
      </c>
      <c r="AA10" s="102">
        <f t="shared" si="0"/>
        <v>21</v>
      </c>
      <c r="AB10" s="102">
        <f t="shared" si="0"/>
        <v>22</v>
      </c>
      <c r="AC10" s="102">
        <f t="shared" si="0"/>
        <v>23</v>
      </c>
      <c r="AD10" s="102">
        <f t="shared" si="0"/>
        <v>24</v>
      </c>
      <c r="AE10" s="103">
        <v>1</v>
      </c>
      <c r="AF10" s="103">
        <f>AE10+1</f>
        <v>2</v>
      </c>
      <c r="AG10" s="103">
        <f t="shared" ref="AG10:AN10" si="1">AF10+1</f>
        <v>3</v>
      </c>
      <c r="AH10" s="103">
        <f t="shared" si="1"/>
        <v>4</v>
      </c>
      <c r="AI10" s="103">
        <f t="shared" si="1"/>
        <v>5</v>
      </c>
      <c r="AJ10" s="103">
        <f t="shared" si="1"/>
        <v>6</v>
      </c>
      <c r="AK10" s="103">
        <f t="shared" si="1"/>
        <v>7</v>
      </c>
      <c r="AL10" s="103">
        <f t="shared" si="1"/>
        <v>8</v>
      </c>
      <c r="AM10" s="103">
        <f t="shared" si="1"/>
        <v>9</v>
      </c>
      <c r="AN10" s="103">
        <f t="shared" si="1"/>
        <v>10</v>
      </c>
      <c r="AO10" s="100"/>
      <c r="AP10" s="104"/>
      <c r="AQ10" s="100"/>
    </row>
    <row r="11" spans="1:49" x14ac:dyDescent="0.15">
      <c r="A11" s="39"/>
      <c r="D11" s="105" t="s">
        <v>260</v>
      </c>
      <c r="G11" s="311"/>
      <c r="H11" s="311"/>
      <c r="I11" s="311"/>
      <c r="J11" s="311"/>
      <c r="K11" s="311"/>
      <c r="L11" s="311"/>
      <c r="M11" s="312"/>
      <c r="N11" s="312"/>
      <c r="O11" s="312"/>
      <c r="P11" s="312"/>
      <c r="Q11" s="312"/>
      <c r="R11" s="312"/>
      <c r="S11" s="312"/>
      <c r="T11" s="313"/>
      <c r="U11" s="313"/>
      <c r="V11" s="313"/>
      <c r="W11" s="313"/>
      <c r="X11" s="313"/>
      <c r="Y11" s="313"/>
      <c r="Z11" s="313"/>
      <c r="AA11" s="313"/>
      <c r="AB11" s="313"/>
      <c r="AC11" s="313"/>
      <c r="AD11" s="312"/>
      <c r="AE11" s="312"/>
      <c r="AF11" s="312"/>
      <c r="AG11" s="312"/>
      <c r="AH11" s="312"/>
      <c r="AI11" s="312"/>
      <c r="AJ11" s="312"/>
      <c r="AK11" s="312"/>
      <c r="AL11" s="312"/>
      <c r="AM11" s="312"/>
      <c r="AN11" s="312"/>
      <c r="AO11" s="100"/>
      <c r="AP11" s="100"/>
      <c r="AQ11" s="100"/>
      <c r="AR11" s="105"/>
    </row>
    <row r="12" spans="1:49" outlineLevel="1" x14ac:dyDescent="0.15">
      <c r="A12" s="39"/>
      <c r="AQ12" s="100"/>
      <c r="AR12" s="109"/>
    </row>
    <row r="13" spans="1:49" outlineLevel="1" x14ac:dyDescent="0.15">
      <c r="A13" s="39"/>
      <c r="C13" s="202" t="s">
        <v>87</v>
      </c>
      <c r="D13" s="109" t="s">
        <v>261</v>
      </c>
      <c r="F13" s="314">
        <v>8</v>
      </c>
      <c r="AE13" s="315">
        <v>8</v>
      </c>
      <c r="AF13" s="316">
        <v>12</v>
      </c>
      <c r="AG13" s="316">
        <v>17.5</v>
      </c>
      <c r="AH13" s="316">
        <v>20.5</v>
      </c>
      <c r="AI13" s="316">
        <v>23.5</v>
      </c>
      <c r="AJ13" s="317">
        <v>24.766025297369819</v>
      </c>
      <c r="AK13" s="317">
        <v>26.100255703402631</v>
      </c>
      <c r="AL13" s="317">
        <v>27.506365660352785</v>
      </c>
      <c r="AM13" s="317">
        <v>28.988227565234109</v>
      </c>
      <c r="AN13" s="317">
        <v>30.549922434319193</v>
      </c>
      <c r="AQ13" s="100"/>
      <c r="AR13" s="114"/>
    </row>
    <row r="14" spans="1:49" outlineLevel="1" x14ac:dyDescent="0.15">
      <c r="A14" s="39"/>
      <c r="C14" s="202" t="s">
        <v>89</v>
      </c>
      <c r="D14" s="109" t="s">
        <v>262</v>
      </c>
      <c r="E14" s="100"/>
      <c r="F14" s="218">
        <v>5.3873416909353988E-2</v>
      </c>
      <c r="AE14" s="317"/>
      <c r="AO14" s="88"/>
      <c r="AP14" s="100"/>
      <c r="AQ14" s="100"/>
      <c r="AR14" s="109"/>
      <c r="AS14" s="100"/>
      <c r="AT14" s="100"/>
      <c r="AU14" s="100"/>
    </row>
    <row r="15" spans="1:49" outlineLevel="1" x14ac:dyDescent="0.15">
      <c r="A15" s="39"/>
      <c r="C15" s="202"/>
      <c r="D15" s="109" t="s">
        <v>263</v>
      </c>
      <c r="E15" s="95"/>
      <c r="F15" s="318">
        <v>2000</v>
      </c>
      <c r="AE15" s="319">
        <v>2000</v>
      </c>
      <c r="AF15" s="319">
        <v>2000</v>
      </c>
      <c r="AG15" s="319">
        <v>2000</v>
      </c>
      <c r="AH15" s="319">
        <v>2000</v>
      </c>
      <c r="AI15" s="319">
        <v>2000</v>
      </c>
      <c r="AJ15" s="319">
        <v>2000</v>
      </c>
      <c r="AK15" s="319">
        <v>2000</v>
      </c>
      <c r="AL15" s="319">
        <v>2000</v>
      </c>
      <c r="AM15" s="319">
        <v>2000</v>
      </c>
      <c r="AN15" s="319">
        <v>2000</v>
      </c>
      <c r="AO15" s="88"/>
      <c r="AQ15" s="100"/>
      <c r="AR15" s="114"/>
      <c r="AS15" s="100"/>
      <c r="AT15" s="100"/>
      <c r="AU15" s="100"/>
    </row>
    <row r="16" spans="1:49" outlineLevel="1" x14ac:dyDescent="0.15">
      <c r="A16" s="39"/>
      <c r="C16" s="202" t="s">
        <v>91</v>
      </c>
      <c r="D16" s="109" t="s">
        <v>264</v>
      </c>
      <c r="E16" s="95"/>
      <c r="F16" s="320"/>
      <c r="AE16" s="321">
        <v>264.8304</v>
      </c>
      <c r="AF16" s="321">
        <v>409.16296799999992</v>
      </c>
      <c r="AG16" s="321">
        <v>614.59687485000006</v>
      </c>
      <c r="AH16" s="321">
        <v>741.55502928329986</v>
      </c>
      <c r="AI16" s="321">
        <v>875.57753579523308</v>
      </c>
      <c r="AJ16" s="321">
        <v>950.43032610012233</v>
      </c>
      <c r="AK16" s="321">
        <v>1031.6822529604497</v>
      </c>
      <c r="AL16" s="321">
        <v>1119.8803761249349</v>
      </c>
      <c r="AM16" s="321">
        <v>1215.6185232720129</v>
      </c>
      <c r="AN16" s="321">
        <v>1319.5412881823486</v>
      </c>
      <c r="AO16" s="88"/>
      <c r="AP16" s="322"/>
      <c r="AQ16" s="100"/>
      <c r="AR16" s="109"/>
      <c r="AS16" s="100"/>
      <c r="AT16" s="100"/>
      <c r="AU16" s="100"/>
      <c r="AV16" s="100"/>
      <c r="AW16" s="100"/>
    </row>
    <row r="17" spans="1:48" outlineLevel="1" x14ac:dyDescent="0.15">
      <c r="A17" s="39"/>
      <c r="C17" s="202"/>
      <c r="D17" s="195" t="s">
        <v>265</v>
      </c>
      <c r="E17" s="323"/>
      <c r="F17" s="324">
        <v>12</v>
      </c>
      <c r="G17" s="107" t="s">
        <v>73</v>
      </c>
      <c r="H17" s="107" t="s">
        <v>74</v>
      </c>
      <c r="I17" s="107" t="s">
        <v>75</v>
      </c>
      <c r="J17" s="107" t="s">
        <v>76</v>
      </c>
      <c r="K17" s="107" t="s">
        <v>77</v>
      </c>
      <c r="L17" s="107" t="s">
        <v>78</v>
      </c>
      <c r="M17" s="107" t="s">
        <v>79</v>
      </c>
      <c r="N17" s="107" t="s">
        <v>80</v>
      </c>
      <c r="O17" s="107" t="s">
        <v>81</v>
      </c>
      <c r="P17" s="107" t="s">
        <v>82</v>
      </c>
      <c r="Q17" s="107" t="s">
        <v>83</v>
      </c>
      <c r="R17" s="107" t="s">
        <v>84</v>
      </c>
      <c r="S17" s="107" t="s">
        <v>73</v>
      </c>
      <c r="T17" s="107" t="s">
        <v>74</v>
      </c>
      <c r="U17" s="107" t="s">
        <v>75</v>
      </c>
      <c r="V17" s="107" t="s">
        <v>76</v>
      </c>
      <c r="W17" s="107" t="s">
        <v>77</v>
      </c>
      <c r="X17" s="107" t="s">
        <v>78</v>
      </c>
      <c r="Y17" s="107" t="s">
        <v>79</v>
      </c>
      <c r="Z17" s="107" t="s">
        <v>80</v>
      </c>
      <c r="AA17" s="107" t="s">
        <v>81</v>
      </c>
      <c r="AB17" s="107" t="s">
        <v>82</v>
      </c>
      <c r="AC17" s="107" t="s">
        <v>83</v>
      </c>
      <c r="AD17" s="107" t="s">
        <v>84</v>
      </c>
      <c r="AE17" s="325" t="s">
        <v>266</v>
      </c>
      <c r="AF17" s="326"/>
      <c r="AG17" s="326"/>
      <c r="AH17" s="327"/>
      <c r="AI17" s="327"/>
      <c r="AJ17" s="327"/>
      <c r="AK17" s="327"/>
      <c r="AL17" s="327"/>
      <c r="AM17" s="327"/>
      <c r="AN17" s="327"/>
      <c r="AO17" s="100"/>
      <c r="AP17" s="18"/>
      <c r="AQ17" s="18"/>
      <c r="AR17" s="109"/>
    </row>
    <row r="18" spans="1:48" outlineLevel="1" x14ac:dyDescent="0.15">
      <c r="A18" s="39"/>
      <c r="C18" s="202"/>
      <c r="D18" s="114" t="s">
        <v>267</v>
      </c>
      <c r="E18" s="100"/>
      <c r="F18" s="110"/>
      <c r="G18" s="115">
        <v>5.5000000000000049E-2</v>
      </c>
      <c r="H18" s="116">
        <v>7.0000000000000007E-2</v>
      </c>
      <c r="I18" s="116">
        <v>0.08</v>
      </c>
      <c r="J18" s="116">
        <v>0.08</v>
      </c>
      <c r="K18" s="116">
        <v>0.08</v>
      </c>
      <c r="L18" s="116">
        <v>0.08</v>
      </c>
      <c r="M18" s="116">
        <v>8.5000000000000006E-2</v>
      </c>
      <c r="N18" s="116">
        <v>0.08</v>
      </c>
      <c r="O18" s="116">
        <v>8.5000000000000006E-2</v>
      </c>
      <c r="P18" s="116">
        <v>0.1</v>
      </c>
      <c r="Q18" s="116">
        <v>0.1</v>
      </c>
      <c r="R18" s="116">
        <v>0.105</v>
      </c>
      <c r="S18" s="115">
        <v>5.5000000000000049E-2</v>
      </c>
      <c r="T18" s="116">
        <v>7.0000000000000007E-2</v>
      </c>
      <c r="U18" s="116">
        <v>0.08</v>
      </c>
      <c r="V18" s="116">
        <v>0.08</v>
      </c>
      <c r="W18" s="116">
        <v>0.08</v>
      </c>
      <c r="X18" s="116">
        <v>0.08</v>
      </c>
      <c r="Y18" s="116">
        <v>8.5000000000000006E-2</v>
      </c>
      <c r="Z18" s="116">
        <v>0.08</v>
      </c>
      <c r="AA18" s="116">
        <v>8.5000000000000006E-2</v>
      </c>
      <c r="AB18" s="116">
        <v>0.1</v>
      </c>
      <c r="AC18" s="116">
        <v>0.1</v>
      </c>
      <c r="AD18" s="116">
        <v>0.105</v>
      </c>
      <c r="AE18" s="325" t="s">
        <v>266</v>
      </c>
      <c r="AF18" s="326"/>
      <c r="AG18" s="328"/>
      <c r="AH18" s="111"/>
      <c r="AI18" s="111"/>
      <c r="AJ18" s="111"/>
      <c r="AK18" s="111"/>
      <c r="AL18" s="111"/>
      <c r="AM18" s="111"/>
      <c r="AN18" s="111"/>
      <c r="AO18" s="100"/>
      <c r="AP18" s="100"/>
      <c r="AQ18" s="100"/>
      <c r="AR18" s="109"/>
    </row>
    <row r="19" spans="1:48" outlineLevel="1" x14ac:dyDescent="0.15">
      <c r="A19" s="39"/>
      <c r="C19" s="202"/>
      <c r="D19" s="114" t="s">
        <v>268</v>
      </c>
      <c r="E19" s="311"/>
      <c r="F19" s="239">
        <v>360</v>
      </c>
      <c r="G19" s="126"/>
      <c r="H19" s="126"/>
      <c r="I19" s="126"/>
      <c r="J19" s="126"/>
      <c r="K19" s="126"/>
      <c r="L19" s="126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128"/>
      <c r="AF19" s="126"/>
      <c r="AG19" s="126"/>
      <c r="AH19" s="126"/>
      <c r="AI19" s="126"/>
      <c r="AJ19" s="126"/>
      <c r="AK19" s="126"/>
      <c r="AL19" s="126"/>
      <c r="AM19" s="126"/>
      <c r="AN19" s="126"/>
      <c r="AO19" s="100"/>
      <c r="AP19" s="100"/>
      <c r="AQ19" s="18"/>
      <c r="AR19" s="109"/>
    </row>
    <row r="20" spans="1:48" outlineLevel="1" x14ac:dyDescent="0.15">
      <c r="A20" s="39"/>
      <c r="C20" s="202" t="s">
        <v>94</v>
      </c>
      <c r="D20" s="109" t="s">
        <v>269</v>
      </c>
      <c r="E20" s="95"/>
      <c r="F20" s="330">
        <v>0.17640999999999998</v>
      </c>
      <c r="G20" s="331">
        <v>0.17640999999999998</v>
      </c>
      <c r="H20" s="331">
        <v>0.17640999999999998</v>
      </c>
      <c r="I20" s="331">
        <v>0.17640999999999998</v>
      </c>
      <c r="J20" s="331">
        <v>0.17640999999999998</v>
      </c>
      <c r="K20" s="331">
        <v>0.17640999999999998</v>
      </c>
      <c r="L20" s="331">
        <v>0.17640999999999998</v>
      </c>
      <c r="M20" s="331">
        <v>0.17640999999999998</v>
      </c>
      <c r="N20" s="331">
        <v>0.17640999999999998</v>
      </c>
      <c r="O20" s="331">
        <v>0.17640999999999998</v>
      </c>
      <c r="P20" s="331">
        <v>0.17640999999999998</v>
      </c>
      <c r="Q20" s="331">
        <v>0.17640999999999998</v>
      </c>
      <c r="R20" s="331">
        <v>0.17640999999999998</v>
      </c>
      <c r="S20" s="331">
        <v>0.18170229999999998</v>
      </c>
      <c r="T20" s="331">
        <v>0.18170229999999998</v>
      </c>
      <c r="U20" s="331">
        <v>0.18170229999999998</v>
      </c>
      <c r="V20" s="331">
        <v>0.18170229999999998</v>
      </c>
      <c r="W20" s="331">
        <v>0.18170229999999998</v>
      </c>
      <c r="X20" s="331">
        <v>0.18170229999999998</v>
      </c>
      <c r="Y20" s="331">
        <v>0.18170229999999998</v>
      </c>
      <c r="Z20" s="331">
        <v>0.18170229999999998</v>
      </c>
      <c r="AA20" s="331">
        <v>0.18170229999999998</v>
      </c>
      <c r="AB20" s="331">
        <v>0.18170229999999998</v>
      </c>
      <c r="AC20" s="331">
        <v>0.18170229999999998</v>
      </c>
      <c r="AD20" s="331">
        <v>0.18170229999999998</v>
      </c>
      <c r="AE20" s="331">
        <v>0.17640999999999998</v>
      </c>
      <c r="AF20" s="331">
        <v>0.18170229999999998</v>
      </c>
      <c r="AG20" s="331">
        <v>0.18715336899999999</v>
      </c>
      <c r="AH20" s="331">
        <v>0.19276797006999999</v>
      </c>
      <c r="AI20" s="331">
        <v>0.1985510091721</v>
      </c>
      <c r="AJ20" s="331">
        <v>0.20450753944726302</v>
      </c>
      <c r="AK20" s="331">
        <v>0.21064276563068091</v>
      </c>
      <c r="AL20" s="331">
        <v>0.21696204859960133</v>
      </c>
      <c r="AM20" s="331">
        <v>0.22347091005758937</v>
      </c>
      <c r="AN20" s="331">
        <v>0.23017503735931705</v>
      </c>
      <c r="AO20" s="100"/>
      <c r="AP20" s="18"/>
      <c r="AQ20" s="100"/>
      <c r="AR20" s="109"/>
    </row>
    <row r="21" spans="1:48" outlineLevel="1" x14ac:dyDescent="0.15">
      <c r="A21" s="39"/>
      <c r="C21" s="202" t="s">
        <v>94</v>
      </c>
      <c r="D21" s="109" t="s">
        <v>270</v>
      </c>
      <c r="E21" s="95"/>
      <c r="F21" s="123">
        <v>0.03</v>
      </c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1"/>
      <c r="AC21" s="331"/>
      <c r="AD21" s="331"/>
      <c r="AE21" s="331"/>
      <c r="AF21" s="331"/>
      <c r="AG21" s="331"/>
      <c r="AH21" s="331"/>
      <c r="AI21" s="331"/>
      <c r="AJ21" s="331"/>
      <c r="AK21" s="331"/>
      <c r="AL21" s="331"/>
      <c r="AM21" s="331"/>
      <c r="AN21" s="331"/>
      <c r="AO21" s="100"/>
      <c r="AP21" s="18"/>
      <c r="AQ21" s="100"/>
      <c r="AR21" s="134"/>
    </row>
    <row r="22" spans="1:48" outlineLevel="1" x14ac:dyDescent="0.15">
      <c r="A22" s="39"/>
      <c r="C22" s="202"/>
      <c r="D22" s="332" t="s">
        <v>271</v>
      </c>
      <c r="E22" s="95"/>
      <c r="F22" s="207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31"/>
      <c r="V22" s="331"/>
      <c r="W22" s="331"/>
      <c r="X22" s="331"/>
      <c r="Y22" s="331"/>
      <c r="Z22" s="331"/>
      <c r="AA22" s="331"/>
      <c r="AB22" s="331"/>
      <c r="AC22" s="331"/>
      <c r="AD22" s="331"/>
      <c r="AE22" s="126">
        <v>508.06079999999997</v>
      </c>
      <c r="AF22" s="126">
        <v>784.95393599999989</v>
      </c>
      <c r="AG22" s="126">
        <v>1179.0662247</v>
      </c>
      <c r="AH22" s="126">
        <v>1422.6276191165998</v>
      </c>
      <c r="AI22" s="126">
        <v>1679.7415375959661</v>
      </c>
      <c r="AJ22" s="126">
        <v>1823.342002363358</v>
      </c>
      <c r="AK22" s="126">
        <v>1979.2188162117659</v>
      </c>
      <c r="AL22" s="126">
        <v>2148.421479551952</v>
      </c>
      <c r="AM22" s="126">
        <v>2332.089214185371</v>
      </c>
      <c r="AN22" s="126">
        <v>2531.458633551717</v>
      </c>
      <c r="AO22" s="100"/>
      <c r="AP22" s="18"/>
      <c r="AQ22" s="100"/>
      <c r="AR22" s="134"/>
    </row>
    <row r="23" spans="1:48" outlineLevel="1" x14ac:dyDescent="0.15">
      <c r="A23" s="39"/>
      <c r="C23" s="202"/>
      <c r="D23" s="109" t="s">
        <v>272</v>
      </c>
      <c r="E23" s="100"/>
      <c r="F23" s="207"/>
      <c r="G23" s="111">
        <v>165.13431211382593</v>
      </c>
      <c r="H23" s="111">
        <v>210.1709426903237</v>
      </c>
      <c r="I23" s="111">
        <v>240.19536307465566</v>
      </c>
      <c r="J23" s="111">
        <v>240.19536307465566</v>
      </c>
      <c r="K23" s="111">
        <v>240.19536307465566</v>
      </c>
      <c r="L23" s="111">
        <v>240.19536307465566</v>
      </c>
      <c r="M23" s="111">
        <v>255.20757326682164</v>
      </c>
      <c r="N23" s="111">
        <v>240.19536307465566</v>
      </c>
      <c r="O23" s="111">
        <v>255.20757326682164</v>
      </c>
      <c r="P23" s="111">
        <v>300.24420384331961</v>
      </c>
      <c r="Q23" s="111">
        <v>300.24420384331961</v>
      </c>
      <c r="R23" s="111">
        <v>315.25641403548553</v>
      </c>
      <c r="S23" s="111">
        <v>247.70146817073882</v>
      </c>
      <c r="T23" s="111">
        <v>315.25641403548548</v>
      </c>
      <c r="U23" s="111">
        <v>360.29304461198342</v>
      </c>
      <c r="V23" s="111">
        <v>360.29304461198342</v>
      </c>
      <c r="W23" s="111">
        <v>360.29304461198342</v>
      </c>
      <c r="X23" s="111">
        <v>360.29304461198342</v>
      </c>
      <c r="Y23" s="111">
        <v>382.81135990023239</v>
      </c>
      <c r="Z23" s="111">
        <v>360.29304461198342</v>
      </c>
      <c r="AA23" s="111">
        <v>382.81135990023239</v>
      </c>
      <c r="AB23" s="111">
        <v>450.3663057649793</v>
      </c>
      <c r="AC23" s="111">
        <v>450.3663057649793</v>
      </c>
      <c r="AD23" s="111">
        <v>472.88462105322822</v>
      </c>
      <c r="AE23" s="111">
        <v>2880</v>
      </c>
      <c r="AF23" s="111">
        <v>4320</v>
      </c>
      <c r="AG23" s="111">
        <v>6300.0000000000009</v>
      </c>
      <c r="AH23" s="111">
        <v>7379.9999999999991</v>
      </c>
      <c r="AI23" s="111">
        <v>8460</v>
      </c>
      <c r="AJ23" s="111">
        <v>8915.7691070531346</v>
      </c>
      <c r="AK23" s="111">
        <v>9396.0920532249474</v>
      </c>
      <c r="AL23" s="111">
        <v>9902.291637727003</v>
      </c>
      <c r="AM23" s="111">
        <v>10435.761923484279</v>
      </c>
      <c r="AN23" s="111">
        <v>10997.97207635491</v>
      </c>
      <c r="AO23" s="100"/>
      <c r="AQ23" s="100"/>
    </row>
    <row r="24" spans="1:48" outlineLevel="1" x14ac:dyDescent="0.15">
      <c r="A24" s="39"/>
      <c r="C24" s="202" t="s">
        <v>131</v>
      </c>
      <c r="D24" s="109" t="s">
        <v>273</v>
      </c>
      <c r="E24" s="100"/>
      <c r="F24" s="127">
        <v>0.15</v>
      </c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00"/>
      <c r="AP24" s="18"/>
      <c r="AQ24" s="18"/>
      <c r="AR24" s="100"/>
    </row>
    <row r="25" spans="1:48" outlineLevel="1" x14ac:dyDescent="0.15">
      <c r="A25" s="39"/>
      <c r="C25" s="202" t="s">
        <v>131</v>
      </c>
      <c r="D25" s="109" t="s">
        <v>274</v>
      </c>
      <c r="E25" s="100"/>
      <c r="F25" s="130">
        <v>0.05</v>
      </c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00"/>
      <c r="AQ25" s="18"/>
      <c r="AR25" s="100"/>
    </row>
    <row r="26" spans="1:48" outlineLevel="1" x14ac:dyDescent="0.15">
      <c r="A26" s="39"/>
      <c r="C26" s="202" t="s">
        <v>94</v>
      </c>
      <c r="D26" s="109" t="s">
        <v>97</v>
      </c>
      <c r="E26" s="100"/>
      <c r="F26" s="131">
        <v>0.03</v>
      </c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00"/>
      <c r="AQ26" s="100"/>
      <c r="AR26" s="100"/>
    </row>
    <row r="27" spans="1:48" outlineLevel="1" x14ac:dyDescent="0.15">
      <c r="A27" s="39"/>
      <c r="C27" s="202"/>
      <c r="D27" s="109" t="s">
        <v>275</v>
      </c>
      <c r="E27" s="100"/>
      <c r="F27" s="211"/>
      <c r="G27" s="133">
        <v>1.1880000000000011</v>
      </c>
      <c r="H27" s="133">
        <v>1.5120000000000002</v>
      </c>
      <c r="I27" s="133">
        <v>1.7280000000000002</v>
      </c>
      <c r="J27" s="133">
        <v>1.7280000000000002</v>
      </c>
      <c r="K27" s="133">
        <v>1.7280000000000002</v>
      </c>
      <c r="L27" s="133">
        <v>1.7280000000000002</v>
      </c>
      <c r="M27" s="133">
        <v>1.8360000000000003</v>
      </c>
      <c r="N27" s="133">
        <v>1.7280000000000002</v>
      </c>
      <c r="O27" s="133">
        <v>1.8360000000000003</v>
      </c>
      <c r="P27" s="133">
        <v>2.16</v>
      </c>
      <c r="Q27" s="133">
        <v>2.16</v>
      </c>
      <c r="R27" s="133">
        <v>2.2680000000000002</v>
      </c>
      <c r="S27" s="133">
        <v>1.8354600000000016</v>
      </c>
      <c r="T27" s="133">
        <v>2.3360400000000001</v>
      </c>
      <c r="U27" s="133">
        <v>2.6697600000000001</v>
      </c>
      <c r="V27" s="133">
        <v>2.6697600000000001</v>
      </c>
      <c r="W27" s="133">
        <v>2.6697600000000001</v>
      </c>
      <c r="X27" s="133">
        <v>2.6697600000000001</v>
      </c>
      <c r="Y27" s="133">
        <v>2.8366200000000004</v>
      </c>
      <c r="Z27" s="133">
        <v>2.6697600000000001</v>
      </c>
      <c r="AA27" s="133">
        <v>2.8366200000000004</v>
      </c>
      <c r="AB27" s="133">
        <v>3.3372000000000002</v>
      </c>
      <c r="AC27" s="133">
        <v>3.3372000000000002</v>
      </c>
      <c r="AD27" s="133">
        <v>3.50406</v>
      </c>
      <c r="AE27" s="133">
        <v>21.6</v>
      </c>
      <c r="AF27" s="133">
        <v>33.372</v>
      </c>
      <c r="AG27" s="133">
        <v>50.127525000000006</v>
      </c>
      <c r="AH27" s="133">
        <v>60.482439449999987</v>
      </c>
      <c r="AI27" s="133">
        <v>71.4135339945</v>
      </c>
      <c r="AJ27" s="133">
        <v>77.518649836886681</v>
      </c>
      <c r="AK27" s="133">
        <v>84.145689709133521</v>
      </c>
      <c r="AL27" s="133">
        <v>91.339272697917565</v>
      </c>
      <c r="AM27" s="133">
        <v>99.147832358654725</v>
      </c>
      <c r="AN27" s="133">
        <v>107.62394281298042</v>
      </c>
      <c r="AO27" s="100"/>
      <c r="AP27" s="100"/>
      <c r="AQ27" s="100"/>
      <c r="AR27" s="100"/>
    </row>
    <row r="28" spans="1:48" x14ac:dyDescent="0.15">
      <c r="A28" s="39"/>
      <c r="C28" s="202"/>
      <c r="D28" s="99" t="s">
        <v>276</v>
      </c>
      <c r="G28" s="128">
        <f t="shared" ref="G28:L28" si="2">$AE$28*G18</f>
        <v>29.131344000000027</v>
      </c>
      <c r="H28" s="128">
        <f t="shared" si="2"/>
        <v>37.076256000000001</v>
      </c>
      <c r="I28" s="128">
        <f t="shared" si="2"/>
        <v>42.372864</v>
      </c>
      <c r="J28" s="128">
        <f t="shared" si="2"/>
        <v>42.372864</v>
      </c>
      <c r="K28" s="128">
        <f t="shared" si="2"/>
        <v>42.372864</v>
      </c>
      <c r="L28" s="128">
        <f t="shared" si="2"/>
        <v>42.372864</v>
      </c>
      <c r="M28" s="128">
        <f>$AE$28*M18</f>
        <v>45.021168000000003</v>
      </c>
      <c r="N28" s="128">
        <f t="shared" ref="N28:R28" si="3">$AE$28*N18</f>
        <v>42.372864</v>
      </c>
      <c r="O28" s="128">
        <f t="shared" si="3"/>
        <v>45.021168000000003</v>
      </c>
      <c r="P28" s="128">
        <f t="shared" si="3"/>
        <v>52.966080000000005</v>
      </c>
      <c r="Q28" s="128">
        <f t="shared" si="3"/>
        <v>52.966080000000005</v>
      </c>
      <c r="R28" s="128">
        <f t="shared" si="3"/>
        <v>55.614383999999994</v>
      </c>
      <c r="S28" s="128">
        <f>$AF$28*S18</f>
        <v>45.00792648000003</v>
      </c>
      <c r="T28" s="128">
        <f t="shared" ref="T28:AD28" si="4">$AF$28*T18</f>
        <v>57.282815519999993</v>
      </c>
      <c r="U28" s="128">
        <f t="shared" si="4"/>
        <v>65.466074879999994</v>
      </c>
      <c r="V28" s="128">
        <f t="shared" si="4"/>
        <v>65.466074879999994</v>
      </c>
      <c r="W28" s="128">
        <f t="shared" si="4"/>
        <v>65.466074879999994</v>
      </c>
      <c r="X28" s="128">
        <f t="shared" si="4"/>
        <v>65.466074879999994</v>
      </c>
      <c r="Y28" s="128">
        <f t="shared" si="4"/>
        <v>69.557704559999991</v>
      </c>
      <c r="Z28" s="128">
        <f t="shared" si="4"/>
        <v>65.466074879999994</v>
      </c>
      <c r="AA28" s="128">
        <f t="shared" si="4"/>
        <v>69.557704559999991</v>
      </c>
      <c r="AB28" s="128">
        <f t="shared" si="4"/>
        <v>81.832593599999996</v>
      </c>
      <c r="AC28" s="128">
        <f t="shared" si="4"/>
        <v>81.832593599999996</v>
      </c>
      <c r="AD28" s="128">
        <f t="shared" si="4"/>
        <v>85.924223279999978</v>
      </c>
      <c r="AE28" s="126">
        <f>AE22+AE27</f>
        <v>529.66079999999999</v>
      </c>
      <c r="AF28" s="126">
        <f t="shared" ref="AF28:AN28" si="5">AF22+AF27</f>
        <v>818.32593599999984</v>
      </c>
      <c r="AG28" s="126">
        <f t="shared" si="5"/>
        <v>1229.1937497000001</v>
      </c>
      <c r="AH28" s="126">
        <f t="shared" si="5"/>
        <v>1483.1100585665997</v>
      </c>
      <c r="AI28" s="126">
        <f t="shared" si="5"/>
        <v>1751.1550715904662</v>
      </c>
      <c r="AJ28" s="126">
        <f t="shared" si="5"/>
        <v>1900.8606522002447</v>
      </c>
      <c r="AK28" s="126">
        <f t="shared" si="5"/>
        <v>2063.3645059208993</v>
      </c>
      <c r="AL28" s="126">
        <f t="shared" si="5"/>
        <v>2239.7607522498697</v>
      </c>
      <c r="AM28" s="126">
        <f t="shared" si="5"/>
        <v>2431.2370465440258</v>
      </c>
      <c r="AN28" s="126">
        <f t="shared" si="5"/>
        <v>2639.0825763646972</v>
      </c>
      <c r="AO28" s="113"/>
      <c r="AP28" s="100"/>
      <c r="AQ28" s="100"/>
      <c r="AR28" s="99"/>
    </row>
    <row r="29" spans="1:48" ht="14" thickBot="1" x14ac:dyDescent="0.2">
      <c r="A29" s="39"/>
      <c r="C29" s="202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13"/>
      <c r="AP29" s="100"/>
      <c r="AQ29" s="100"/>
      <c r="AR29" s="99"/>
    </row>
    <row r="30" spans="1:48" ht="14" thickTop="1" x14ac:dyDescent="0.15">
      <c r="C30" s="202"/>
      <c r="D30" s="99" t="s">
        <v>277</v>
      </c>
      <c r="E30" s="95"/>
      <c r="F30" s="136"/>
      <c r="G30" s="137">
        <f t="shared" ref="G30:L30" si="6">G28</f>
        <v>29.131344000000027</v>
      </c>
      <c r="H30" s="137">
        <f t="shared" si="6"/>
        <v>37.076256000000001</v>
      </c>
      <c r="I30" s="137">
        <f t="shared" si="6"/>
        <v>42.372864</v>
      </c>
      <c r="J30" s="137">
        <f t="shared" si="6"/>
        <v>42.372864</v>
      </c>
      <c r="K30" s="137">
        <f t="shared" si="6"/>
        <v>42.372864</v>
      </c>
      <c r="L30" s="137">
        <f t="shared" si="6"/>
        <v>42.372864</v>
      </c>
      <c r="M30" s="137">
        <f>M28</f>
        <v>45.021168000000003</v>
      </c>
      <c r="N30" s="137">
        <f t="shared" ref="N30:AD30" si="7">N28</f>
        <v>42.372864</v>
      </c>
      <c r="O30" s="137">
        <f t="shared" si="7"/>
        <v>45.021168000000003</v>
      </c>
      <c r="P30" s="137">
        <f t="shared" si="7"/>
        <v>52.966080000000005</v>
      </c>
      <c r="Q30" s="137">
        <f t="shared" si="7"/>
        <v>52.966080000000005</v>
      </c>
      <c r="R30" s="137">
        <f t="shared" si="7"/>
        <v>55.614383999999994</v>
      </c>
      <c r="S30" s="137">
        <f t="shared" si="7"/>
        <v>45.00792648000003</v>
      </c>
      <c r="T30" s="137">
        <f t="shared" si="7"/>
        <v>57.282815519999993</v>
      </c>
      <c r="U30" s="137">
        <f t="shared" si="7"/>
        <v>65.466074879999994</v>
      </c>
      <c r="V30" s="137">
        <f t="shared" si="7"/>
        <v>65.466074879999994</v>
      </c>
      <c r="W30" s="137">
        <f t="shared" si="7"/>
        <v>65.466074879999994</v>
      </c>
      <c r="X30" s="137">
        <f t="shared" si="7"/>
        <v>65.466074879999994</v>
      </c>
      <c r="Y30" s="137">
        <f t="shared" si="7"/>
        <v>69.557704559999991</v>
      </c>
      <c r="Z30" s="137">
        <f t="shared" si="7"/>
        <v>65.466074879999994</v>
      </c>
      <c r="AA30" s="137">
        <f t="shared" si="7"/>
        <v>69.557704559999991</v>
      </c>
      <c r="AB30" s="137">
        <f t="shared" si="7"/>
        <v>81.832593599999996</v>
      </c>
      <c r="AC30" s="137">
        <f t="shared" si="7"/>
        <v>81.832593599999996</v>
      </c>
      <c r="AD30" s="137">
        <f t="shared" si="7"/>
        <v>85.924223279999978</v>
      </c>
      <c r="AE30" s="333">
        <f>AE28</f>
        <v>529.66079999999999</v>
      </c>
      <c r="AF30" s="333">
        <f t="shared" ref="AF30:AN30" si="8">AF28</f>
        <v>818.32593599999984</v>
      </c>
      <c r="AG30" s="333">
        <f t="shared" si="8"/>
        <v>1229.1937497000001</v>
      </c>
      <c r="AH30" s="333">
        <f t="shared" si="8"/>
        <v>1483.1100585665997</v>
      </c>
      <c r="AI30" s="333">
        <f t="shared" si="8"/>
        <v>1751.1550715904662</v>
      </c>
      <c r="AJ30" s="333">
        <f t="shared" si="8"/>
        <v>1900.8606522002447</v>
      </c>
      <c r="AK30" s="333">
        <f t="shared" si="8"/>
        <v>2063.3645059208993</v>
      </c>
      <c r="AL30" s="333">
        <f t="shared" si="8"/>
        <v>2239.7607522498697</v>
      </c>
      <c r="AM30" s="333">
        <f t="shared" si="8"/>
        <v>2431.2370465440258</v>
      </c>
      <c r="AN30" s="333">
        <f t="shared" si="8"/>
        <v>2639.0825763646972</v>
      </c>
      <c r="AO30" s="100"/>
      <c r="AP30" s="138">
        <f>(AN30/AE30)^(1/9)-1</f>
        <v>0.19534980865981688</v>
      </c>
      <c r="AQ30" s="139" t="s">
        <v>101</v>
      </c>
      <c r="AR30" s="99"/>
    </row>
    <row r="31" spans="1:48" x14ac:dyDescent="0.15">
      <c r="C31" s="202"/>
      <c r="D31" s="99"/>
      <c r="E31" s="95"/>
      <c r="F31" s="136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00"/>
      <c r="AP31" s="142"/>
      <c r="AQ31" s="143"/>
      <c r="AR31" s="109"/>
    </row>
    <row r="32" spans="1:48" hidden="1" outlineLevel="1" x14ac:dyDescent="0.15">
      <c r="C32" s="202"/>
      <c r="D32" s="99" t="s">
        <v>102</v>
      </c>
      <c r="E32" s="95"/>
      <c r="F32" s="136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4"/>
      <c r="AE32" s="144"/>
      <c r="AF32" s="144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9"/>
      <c r="AU32" s="17"/>
      <c r="AV32" s="62"/>
    </row>
    <row r="33" spans="3:50" hidden="1" outlineLevel="1" x14ac:dyDescent="0.15">
      <c r="C33" s="202"/>
      <c r="D33" s="109" t="s">
        <v>103</v>
      </c>
      <c r="E33" s="146" t="s">
        <v>104</v>
      </c>
      <c r="F33" s="147">
        <v>0.02</v>
      </c>
      <c r="G33" s="148"/>
      <c r="H33" s="148"/>
      <c r="I33" s="148"/>
      <c r="J33" s="148"/>
      <c r="K33" s="148"/>
      <c r="L33" s="148"/>
      <c r="M33" s="149"/>
      <c r="N33" s="149"/>
      <c r="O33" s="149"/>
      <c r="P33" s="149"/>
      <c r="Q33" s="149"/>
      <c r="R33" s="149"/>
      <c r="S33" s="149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49"/>
      <c r="AE33" s="149">
        <f>5512000*0.27</f>
        <v>1488240</v>
      </c>
      <c r="AF33" s="151">
        <f>AE33*(1+$F$33)</f>
        <v>1518004.8</v>
      </c>
      <c r="AG33" s="151">
        <f t="shared" ref="AG33:AN33" si="9">AF33*(1+$F$33)</f>
        <v>1548364.8960000002</v>
      </c>
      <c r="AH33" s="151">
        <f t="shared" si="9"/>
        <v>1579332.1939200002</v>
      </c>
      <c r="AI33" s="151">
        <f t="shared" si="9"/>
        <v>1610918.8377984003</v>
      </c>
      <c r="AJ33" s="151">
        <f t="shared" si="9"/>
        <v>1643137.2145543683</v>
      </c>
      <c r="AK33" s="151">
        <f t="shared" si="9"/>
        <v>1675999.9588454557</v>
      </c>
      <c r="AL33" s="151">
        <f t="shared" si="9"/>
        <v>1709519.9580223649</v>
      </c>
      <c r="AM33" s="151">
        <f t="shared" si="9"/>
        <v>1743710.3571828122</v>
      </c>
      <c r="AN33" s="151">
        <f t="shared" si="9"/>
        <v>1778584.5643264684</v>
      </c>
      <c r="AO33" s="152"/>
      <c r="AP33" s="153" t="s">
        <v>105</v>
      </c>
      <c r="AR33" s="114"/>
      <c r="AU33" s="17"/>
      <c r="AV33" s="62"/>
    </row>
    <row r="34" spans="3:50" hidden="1" outlineLevel="1" x14ac:dyDescent="0.15">
      <c r="C34" s="202"/>
      <c r="D34" s="109" t="s">
        <v>106</v>
      </c>
      <c r="E34" s="154" t="s">
        <v>104</v>
      </c>
      <c r="F34" s="155">
        <v>0.1</v>
      </c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6"/>
      <c r="AE34" s="156">
        <f>AE33*0.1</f>
        <v>148824</v>
      </c>
      <c r="AF34" s="156">
        <f>AE34*(1+$F$34)</f>
        <v>163706.40000000002</v>
      </c>
      <c r="AG34" s="156">
        <f t="shared" ref="AG34:AN34" si="10">AF34*(1+$F$34)</f>
        <v>180077.04000000004</v>
      </c>
      <c r="AH34" s="156">
        <f t="shared" si="10"/>
        <v>198084.74400000006</v>
      </c>
      <c r="AI34" s="156">
        <f t="shared" si="10"/>
        <v>217893.2184000001</v>
      </c>
      <c r="AJ34" s="156">
        <f t="shared" si="10"/>
        <v>239682.54024000012</v>
      </c>
      <c r="AK34" s="156">
        <f t="shared" si="10"/>
        <v>263650.79426400014</v>
      </c>
      <c r="AL34" s="156">
        <f t="shared" si="10"/>
        <v>290015.87369040016</v>
      </c>
      <c r="AM34" s="156">
        <f t="shared" si="10"/>
        <v>319017.46105944022</v>
      </c>
      <c r="AN34" s="156">
        <f t="shared" si="10"/>
        <v>350919.20716538426</v>
      </c>
      <c r="AO34" s="100"/>
      <c r="AP34" s="39" t="s">
        <v>107</v>
      </c>
      <c r="AQ34" s="100"/>
      <c r="AR34" s="114"/>
      <c r="AU34" s="17"/>
      <c r="AV34" s="62"/>
    </row>
    <row r="35" spans="3:50" hidden="1" outlineLevel="1" x14ac:dyDescent="0.15">
      <c r="C35" s="202"/>
      <c r="D35" s="114" t="s">
        <v>108</v>
      </c>
      <c r="E35" s="95"/>
      <c r="F35" s="136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8"/>
      <c r="AE35" s="334">
        <f>AE22/AE33</f>
        <v>3.4138364779874212E-4</v>
      </c>
      <c r="AF35" s="334">
        <f t="shared" ref="AF35:AN35" si="11">AF22/AF33</f>
        <v>5.1709581945985931E-4</v>
      </c>
      <c r="AG35" s="334">
        <f t="shared" si="11"/>
        <v>7.6149118837940896E-4</v>
      </c>
      <c r="AH35" s="334">
        <f t="shared" si="11"/>
        <v>9.0077795196813536E-4</v>
      </c>
      <c r="AI35" s="334">
        <f t="shared" si="11"/>
        <v>1.04272263641266E-3</v>
      </c>
      <c r="AJ35" s="334">
        <f t="shared" si="11"/>
        <v>1.109671174271263E-3</v>
      </c>
      <c r="AK35" s="334">
        <f t="shared" si="11"/>
        <v>1.1809181770954149E-3</v>
      </c>
      <c r="AL35" s="334">
        <f t="shared" si="11"/>
        <v>1.256739630017145E-3</v>
      </c>
      <c r="AM35" s="334">
        <f t="shared" si="11"/>
        <v>1.3374292379344241E-3</v>
      </c>
      <c r="AN35" s="334">
        <f t="shared" si="11"/>
        <v>1.4232995632177626E-3</v>
      </c>
      <c r="AO35" s="100"/>
      <c r="AP35" s="100"/>
      <c r="AQ35" s="100"/>
      <c r="AR35" s="72"/>
      <c r="AS35" s="100"/>
      <c r="AT35" s="100"/>
      <c r="AU35" s="17"/>
      <c r="AV35" s="62"/>
    </row>
    <row r="36" spans="3:50" hidden="1" outlineLevel="1" x14ac:dyDescent="0.15">
      <c r="C36" s="202"/>
      <c r="D36" s="72" t="s">
        <v>278</v>
      </c>
      <c r="F36" s="160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42"/>
      <c r="AE36" s="335">
        <f>AE30/$F$15</f>
        <v>0.26483040000000002</v>
      </c>
      <c r="AF36" s="335">
        <f t="shared" ref="AF36:AN36" si="12">AF30/$F$15</f>
        <v>0.4091629679999999</v>
      </c>
      <c r="AG36" s="335">
        <f t="shared" si="12"/>
        <v>0.61459687485000003</v>
      </c>
      <c r="AH36" s="335">
        <f t="shared" si="12"/>
        <v>0.74155502928329986</v>
      </c>
      <c r="AI36" s="335">
        <f t="shared" si="12"/>
        <v>0.87557753579523312</v>
      </c>
      <c r="AJ36" s="335">
        <f t="shared" si="12"/>
        <v>0.95043032610012235</v>
      </c>
      <c r="AK36" s="335">
        <f t="shared" si="12"/>
        <v>1.0316822529604497</v>
      </c>
      <c r="AL36" s="335">
        <f t="shared" si="12"/>
        <v>1.119880376124935</v>
      </c>
      <c r="AM36" s="335">
        <f t="shared" si="12"/>
        <v>1.2156185232720129</v>
      </c>
      <c r="AN36" s="335">
        <f t="shared" si="12"/>
        <v>1.3195412881823485</v>
      </c>
      <c r="AO36" s="100"/>
      <c r="AP36" s="18" t="s">
        <v>279</v>
      </c>
      <c r="AQ36" s="100"/>
      <c r="AR36" s="72"/>
      <c r="AS36" s="100"/>
      <c r="AT36" s="100"/>
    </row>
    <row r="37" spans="3:50" hidden="1" outlineLevel="1" x14ac:dyDescent="0.15">
      <c r="C37" s="202"/>
      <c r="D37" s="105" t="s">
        <v>111</v>
      </c>
      <c r="F37" s="160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00"/>
      <c r="AP37" s="100"/>
      <c r="AQ37" s="100"/>
      <c r="AR37" s="72"/>
      <c r="AS37" s="100"/>
      <c r="AT37" s="100"/>
    </row>
    <row r="38" spans="3:50" hidden="1" outlineLevel="1" x14ac:dyDescent="0.15">
      <c r="C38" s="202"/>
      <c r="D38" s="72" t="s">
        <v>112</v>
      </c>
      <c r="F38" s="160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2"/>
      <c r="AE38" s="164">
        <v>1.5</v>
      </c>
      <c r="AF38" s="142"/>
      <c r="AG38" s="142"/>
      <c r="AH38" s="142"/>
      <c r="AI38" s="142"/>
      <c r="AJ38" s="142"/>
      <c r="AK38" s="142"/>
      <c r="AL38" s="142"/>
      <c r="AM38" s="142"/>
      <c r="AN38" s="142"/>
      <c r="AO38" s="100"/>
      <c r="AP38" s="165" t="s">
        <v>113</v>
      </c>
      <c r="AQ38" s="165"/>
      <c r="AR38" s="72"/>
      <c r="AS38" s="100"/>
      <c r="AT38" s="100"/>
    </row>
    <row r="39" spans="3:50" hidden="1" outlineLevel="1" x14ac:dyDescent="0.15">
      <c r="C39" s="202"/>
      <c r="D39" s="72" t="s">
        <v>114</v>
      </c>
      <c r="F39" s="160"/>
      <c r="G39" s="166"/>
      <c r="H39" s="166"/>
      <c r="I39" s="166"/>
      <c r="J39" s="166"/>
      <c r="K39" s="166"/>
      <c r="L39" s="166"/>
      <c r="M39" s="167"/>
      <c r="N39" s="167"/>
      <c r="O39" s="167"/>
      <c r="P39" s="167"/>
      <c r="Q39" s="167"/>
      <c r="R39" s="167"/>
      <c r="S39" s="167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7"/>
      <c r="AE39" s="167">
        <v>0.5</v>
      </c>
      <c r="AF39" s="167">
        <v>0.5</v>
      </c>
      <c r="AG39" s="167">
        <v>0.5</v>
      </c>
      <c r="AH39" s="167">
        <v>0.5</v>
      </c>
      <c r="AI39" s="167">
        <v>0.5</v>
      </c>
      <c r="AJ39" s="167">
        <v>0.5</v>
      </c>
      <c r="AK39" s="167">
        <v>0.5</v>
      </c>
      <c r="AL39" s="167">
        <v>0.5</v>
      </c>
      <c r="AM39" s="167">
        <v>0.5</v>
      </c>
      <c r="AN39" s="167">
        <v>0.5</v>
      </c>
      <c r="AO39" s="100"/>
      <c r="AP39" s="165" t="s">
        <v>115</v>
      </c>
      <c r="AQ39" s="165"/>
      <c r="AR39" s="72"/>
      <c r="AS39" s="100"/>
      <c r="AT39" s="100"/>
    </row>
    <row r="40" spans="3:50" hidden="1" outlineLevel="1" x14ac:dyDescent="0.15">
      <c r="C40" s="202"/>
      <c r="D40" s="72" t="s">
        <v>116</v>
      </c>
      <c r="F40" s="160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69"/>
      <c r="AE40" s="336">
        <f>(AE23/$AE$38)</f>
        <v>1920</v>
      </c>
      <c r="AF40" s="336">
        <f t="shared" ref="AF40:AN40" si="13">(AF23/$AE$38)</f>
        <v>2880</v>
      </c>
      <c r="AG40" s="336">
        <f t="shared" si="13"/>
        <v>4200.0000000000009</v>
      </c>
      <c r="AH40" s="336">
        <f t="shared" si="13"/>
        <v>4919.9999999999991</v>
      </c>
      <c r="AI40" s="336">
        <f t="shared" si="13"/>
        <v>5640</v>
      </c>
      <c r="AJ40" s="336">
        <f t="shared" si="13"/>
        <v>5943.8460713687564</v>
      </c>
      <c r="AK40" s="336">
        <f t="shared" si="13"/>
        <v>6264.0613688166313</v>
      </c>
      <c r="AL40" s="336">
        <f t="shared" si="13"/>
        <v>6601.527758484669</v>
      </c>
      <c r="AM40" s="336">
        <f t="shared" si="13"/>
        <v>6957.1746156561858</v>
      </c>
      <c r="AN40" s="336">
        <f t="shared" si="13"/>
        <v>7331.9813842366066</v>
      </c>
      <c r="AO40" s="100"/>
      <c r="AP40" s="100"/>
      <c r="AQ40" s="100"/>
      <c r="AR40" s="72"/>
      <c r="AS40" s="100"/>
      <c r="AT40" s="100"/>
    </row>
    <row r="41" spans="3:50" hidden="1" outlineLevel="1" x14ac:dyDescent="0.15">
      <c r="C41" s="202"/>
      <c r="D41" s="72" t="s">
        <v>117</v>
      </c>
      <c r="F41" s="160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69"/>
      <c r="AE41" s="336">
        <f>AE40</f>
        <v>1920</v>
      </c>
      <c r="AF41" s="336">
        <f>AF40-AE41*AF39</f>
        <v>1920</v>
      </c>
      <c r="AG41" s="336">
        <f t="shared" ref="AG41:AN41" si="14">AG40-AF41*AG39</f>
        <v>3240.0000000000009</v>
      </c>
      <c r="AH41" s="336">
        <f t="shared" si="14"/>
        <v>3299.9999999999986</v>
      </c>
      <c r="AI41" s="336">
        <f t="shared" si="14"/>
        <v>3990.0000000000009</v>
      </c>
      <c r="AJ41" s="336">
        <f t="shared" si="14"/>
        <v>3948.8460713687559</v>
      </c>
      <c r="AK41" s="336">
        <f t="shared" si="14"/>
        <v>4289.6383331322531</v>
      </c>
      <c r="AL41" s="336">
        <f t="shared" si="14"/>
        <v>4456.7085919185429</v>
      </c>
      <c r="AM41" s="336">
        <f t="shared" si="14"/>
        <v>4728.8203196969143</v>
      </c>
      <c r="AN41" s="336">
        <f t="shared" si="14"/>
        <v>4967.5712243881499</v>
      </c>
      <c r="AO41" s="100"/>
      <c r="AP41" s="100"/>
      <c r="AQ41" s="100"/>
      <c r="AR41" s="171"/>
      <c r="AS41" s="100"/>
      <c r="AT41" s="100"/>
      <c r="AX41" s="39">
        <f>10/1.5/0.9</f>
        <v>7.4074074074074074</v>
      </c>
    </row>
    <row r="42" spans="3:50" hidden="1" outlineLevel="1" x14ac:dyDescent="0.15">
      <c r="C42" s="202"/>
      <c r="D42" s="72" t="s">
        <v>118</v>
      </c>
      <c r="F42" s="160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69"/>
      <c r="AE42" s="123">
        <v>0.03</v>
      </c>
      <c r="AF42" s="169"/>
      <c r="AG42" s="169"/>
      <c r="AH42" s="169"/>
      <c r="AI42" s="169"/>
      <c r="AJ42" s="169"/>
      <c r="AK42" s="169"/>
      <c r="AL42" s="169"/>
      <c r="AM42" s="169"/>
      <c r="AN42" s="169"/>
      <c r="AO42" s="100"/>
      <c r="AP42" s="100"/>
      <c r="AQ42" s="100"/>
      <c r="AR42" s="72"/>
      <c r="AS42" s="100"/>
      <c r="AT42" s="100"/>
    </row>
    <row r="43" spans="3:50" hidden="1" outlineLevel="1" x14ac:dyDescent="0.15">
      <c r="C43" s="202"/>
      <c r="D43" s="171" t="s">
        <v>112</v>
      </c>
      <c r="E43" s="165"/>
      <c r="F43" s="172"/>
      <c r="G43" s="162"/>
      <c r="H43" s="162"/>
      <c r="I43" s="162"/>
      <c r="J43" s="162"/>
      <c r="K43" s="162"/>
      <c r="L43" s="162"/>
      <c r="M43" s="173"/>
      <c r="N43" s="173"/>
      <c r="O43" s="173"/>
      <c r="P43" s="173"/>
      <c r="Q43" s="173"/>
      <c r="R43" s="173"/>
      <c r="S43" s="173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3"/>
      <c r="AE43" s="175">
        <v>1.5</v>
      </c>
      <c r="AF43" s="142"/>
      <c r="AG43" s="142"/>
      <c r="AH43" s="142"/>
      <c r="AI43" s="142"/>
      <c r="AJ43" s="142"/>
      <c r="AK43" s="142"/>
      <c r="AL43" s="142"/>
      <c r="AM43" s="142"/>
      <c r="AN43" s="142"/>
      <c r="AO43" s="100"/>
      <c r="AP43" s="100"/>
      <c r="AQ43" s="100"/>
      <c r="AR43" s="72"/>
      <c r="AS43" s="100"/>
      <c r="AT43" s="100"/>
    </row>
    <row r="44" spans="3:50" hidden="1" outlineLevel="1" x14ac:dyDescent="0.15">
      <c r="C44" s="202"/>
      <c r="D44" s="72" t="s">
        <v>119</v>
      </c>
      <c r="F44" s="160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69"/>
      <c r="AE44" s="169" t="e">
        <f t="shared" ref="AE44:AN44" si="15">(AE85)/(AE40/1000)</f>
        <v>#REF!</v>
      </c>
      <c r="AF44" s="169" t="e">
        <f t="shared" si="15"/>
        <v>#REF!</v>
      </c>
      <c r="AG44" s="169" t="e">
        <f t="shared" si="15"/>
        <v>#REF!</v>
      </c>
      <c r="AH44" s="169">
        <f t="shared" si="15"/>
        <v>10.033597438159546</v>
      </c>
      <c r="AI44" s="169">
        <f t="shared" si="15"/>
        <v>10.334605361304334</v>
      </c>
      <c r="AJ44" s="169">
        <f t="shared" si="15"/>
        <v>10.644643522143463</v>
      </c>
      <c r="AK44" s="169">
        <f t="shared" si="15"/>
        <v>10.963982827807767</v>
      </c>
      <c r="AL44" s="169">
        <f t="shared" si="15"/>
        <v>11.292902312642001</v>
      </c>
      <c r="AM44" s="169">
        <f t="shared" si="15"/>
        <v>11.631689382021259</v>
      </c>
      <c r="AN44" s="169">
        <f t="shared" si="15"/>
        <v>11.980640063481896</v>
      </c>
      <c r="AO44" s="100"/>
      <c r="AP44" s="100" t="s">
        <v>120</v>
      </c>
      <c r="AQ44" s="100"/>
      <c r="AR44" s="72"/>
      <c r="AS44" s="100"/>
      <c r="AT44" s="100"/>
    </row>
    <row r="45" spans="3:50" hidden="1" outlineLevel="1" x14ac:dyDescent="0.15">
      <c r="C45" s="202"/>
      <c r="D45" s="72" t="s">
        <v>121</v>
      </c>
      <c r="F45" s="160"/>
      <c r="G45" s="142"/>
      <c r="H45" s="142"/>
      <c r="I45" s="142"/>
      <c r="J45" s="142"/>
      <c r="K45" s="142"/>
      <c r="L45" s="142"/>
      <c r="M45" s="176"/>
      <c r="N45" s="176"/>
      <c r="O45" s="176"/>
      <c r="P45" s="176"/>
      <c r="Q45" s="176"/>
      <c r="R45" s="176"/>
      <c r="S45" s="176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6"/>
      <c r="AE45" s="178">
        <v>0.5</v>
      </c>
      <c r="AF45" s="142"/>
      <c r="AG45" s="142"/>
      <c r="AH45" s="142"/>
      <c r="AI45" s="142"/>
      <c r="AJ45" s="142"/>
      <c r="AK45" s="142"/>
      <c r="AL45" s="142"/>
      <c r="AM45" s="142"/>
      <c r="AN45" s="142"/>
      <c r="AO45" s="100"/>
      <c r="AP45" s="100"/>
      <c r="AQ45" s="100"/>
      <c r="AR45" s="181"/>
      <c r="AS45" s="100"/>
      <c r="AT45" s="100"/>
    </row>
    <row r="46" spans="3:50" hidden="1" outlineLevel="1" x14ac:dyDescent="0.15">
      <c r="C46" s="202"/>
      <c r="D46" s="72" t="s">
        <v>122</v>
      </c>
      <c r="F46" s="160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79"/>
      <c r="AE46" s="179">
        <f t="shared" ref="AE46:AN46" si="16">(AE30-AE67-AE78)/(AE40/1000)</f>
        <v>24.13153949116106</v>
      </c>
      <c r="AF46" s="179">
        <f t="shared" si="16"/>
        <v>25.48289817589588</v>
      </c>
      <c r="AG46" s="179">
        <f t="shared" si="16"/>
        <v>34.48111458367277</v>
      </c>
      <c r="AH46" s="179">
        <f t="shared" si="16"/>
        <v>37.632648021182966</v>
      </c>
      <c r="AI46" s="179">
        <f t="shared" si="16"/>
        <v>42.04272746181843</v>
      </c>
      <c r="AJ46" s="179">
        <f t="shared" si="16"/>
        <v>44.113109285672991</v>
      </c>
      <c r="AK46" s="179">
        <f t="shared" si="16"/>
        <v>46.245602564243171</v>
      </c>
      <c r="AL46" s="179">
        <f t="shared" si="16"/>
        <v>48.442070641170488</v>
      </c>
      <c r="AM46" s="179">
        <f t="shared" si="16"/>
        <v>50.704432760405616</v>
      </c>
      <c r="AN46" s="179">
        <f t="shared" si="16"/>
        <v>53.034665743217715</v>
      </c>
      <c r="AO46" s="100"/>
      <c r="AP46" s="100" t="s">
        <v>123</v>
      </c>
      <c r="AQ46" s="100"/>
      <c r="AS46" s="100"/>
      <c r="AT46" s="100"/>
    </row>
    <row r="47" spans="3:50" hidden="1" outlineLevel="1" x14ac:dyDescent="0.15">
      <c r="C47" s="202"/>
      <c r="D47" s="181" t="s">
        <v>124</v>
      </c>
      <c r="F47" s="160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2"/>
      <c r="AE47" s="184" t="e">
        <f>AE46*(AE39/(1+$AE$45-AE39))-AE44</f>
        <v>#REF!</v>
      </c>
      <c r="AF47" s="185" t="e">
        <f t="shared" ref="AF47:AN47" si="17">AF46*(AF39/(1+$AE$45-AF39))-AF44</f>
        <v>#REF!</v>
      </c>
      <c r="AG47" s="185" t="e">
        <f t="shared" si="17"/>
        <v>#REF!</v>
      </c>
      <c r="AH47" s="185">
        <f t="shared" si="17"/>
        <v>8.7827265724319368</v>
      </c>
      <c r="AI47" s="185">
        <f t="shared" si="17"/>
        <v>10.686758369604881</v>
      </c>
      <c r="AJ47" s="185">
        <f t="shared" si="17"/>
        <v>11.411911120693032</v>
      </c>
      <c r="AK47" s="185">
        <f t="shared" si="17"/>
        <v>12.158818454313819</v>
      </c>
      <c r="AL47" s="185">
        <f t="shared" si="17"/>
        <v>12.928133007943243</v>
      </c>
      <c r="AM47" s="185">
        <f t="shared" si="17"/>
        <v>13.720526998181549</v>
      </c>
      <c r="AN47" s="186">
        <f t="shared" si="17"/>
        <v>14.536692808126961</v>
      </c>
      <c r="AO47" s="100"/>
      <c r="AP47" s="100"/>
      <c r="AQ47" s="100"/>
      <c r="AS47" s="100"/>
      <c r="AT47" s="100"/>
    </row>
    <row r="48" spans="3:50" hidden="1" outlineLevel="1" x14ac:dyDescent="0.15">
      <c r="C48" s="202"/>
      <c r="F48" s="160"/>
      <c r="G48" s="100"/>
      <c r="H48" s="100"/>
      <c r="I48" s="100"/>
      <c r="J48" s="100"/>
      <c r="K48" s="100"/>
      <c r="L48" s="100"/>
    </row>
    <row r="49" spans="3:50" collapsed="1" x14ac:dyDescent="0.15">
      <c r="C49" s="202"/>
      <c r="D49" s="97" t="s">
        <v>130</v>
      </c>
      <c r="E49" s="191"/>
      <c r="F49" s="192"/>
      <c r="G49" s="100"/>
      <c r="H49" s="100"/>
      <c r="I49" s="100"/>
      <c r="J49" s="100"/>
      <c r="K49" s="100"/>
      <c r="L49" s="100"/>
      <c r="AR49" s="97"/>
    </row>
    <row r="50" spans="3:50" x14ac:dyDescent="0.15">
      <c r="C50" s="202" t="s">
        <v>139</v>
      </c>
      <c r="D50" s="195" t="s">
        <v>132</v>
      </c>
      <c r="E50" s="191"/>
      <c r="F50" s="117">
        <v>0.45900000000000002</v>
      </c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6"/>
      <c r="AE50" s="196"/>
      <c r="AF50" s="196"/>
      <c r="AG50" s="196"/>
      <c r="AH50" s="196"/>
      <c r="AI50" s="158"/>
      <c r="AJ50" s="158"/>
      <c r="AK50" s="158"/>
      <c r="AL50" s="158"/>
      <c r="AM50" s="158"/>
      <c r="AN50" s="158"/>
      <c r="AP50" s="198" t="s">
        <v>133</v>
      </c>
      <c r="AR50" s="195"/>
    </row>
    <row r="51" spans="3:50" x14ac:dyDescent="0.15">
      <c r="C51" s="202"/>
      <c r="D51" s="199" t="s">
        <v>280</v>
      </c>
      <c r="E51" s="191"/>
      <c r="F51" s="136"/>
      <c r="G51" s="200">
        <v>13.371286896000013</v>
      </c>
      <c r="H51" s="200">
        <v>17.018001504000001</v>
      </c>
      <c r="I51" s="200">
        <v>19.449144576000002</v>
      </c>
      <c r="J51" s="200">
        <v>19.449144576000002</v>
      </c>
      <c r="K51" s="200">
        <v>19.449144576000002</v>
      </c>
      <c r="L51" s="200">
        <v>19.449144576000002</v>
      </c>
      <c r="M51" s="200">
        <v>20.664716112000001</v>
      </c>
      <c r="N51" s="200">
        <v>19.449144576000002</v>
      </c>
      <c r="O51" s="200">
        <v>20.664716112000001</v>
      </c>
      <c r="P51" s="200">
        <v>24.311430720000004</v>
      </c>
      <c r="Q51" s="200">
        <v>24.311430720000004</v>
      </c>
      <c r="R51" s="200">
        <v>25.527002255999999</v>
      </c>
      <c r="S51" s="200">
        <v>20.658638254320014</v>
      </c>
      <c r="T51" s="200">
        <v>26.292812323679996</v>
      </c>
      <c r="U51" s="200">
        <v>30.048928369919999</v>
      </c>
      <c r="V51" s="200">
        <v>30.048928369919999</v>
      </c>
      <c r="W51" s="200">
        <v>30.048928369919999</v>
      </c>
      <c r="X51" s="200">
        <v>30.048928369919999</v>
      </c>
      <c r="Y51" s="200">
        <v>31.926986393039996</v>
      </c>
      <c r="Z51" s="200">
        <v>30.048928369919999</v>
      </c>
      <c r="AA51" s="200">
        <v>31.926986393039996</v>
      </c>
      <c r="AB51" s="200">
        <v>37.561160462399997</v>
      </c>
      <c r="AC51" s="200">
        <v>37.561160462399997</v>
      </c>
      <c r="AD51" s="200">
        <v>39.439218485519994</v>
      </c>
      <c r="AE51" s="200">
        <v>243.11430720000001</v>
      </c>
      <c r="AF51" s="200">
        <v>375.61160462399994</v>
      </c>
      <c r="AG51" s="200">
        <v>564.19993111230008</v>
      </c>
      <c r="AH51" s="200">
        <v>680.74751688206925</v>
      </c>
      <c r="AI51" s="200">
        <v>803.78017786002397</v>
      </c>
      <c r="AJ51" s="200">
        <v>872.49503935991231</v>
      </c>
      <c r="AK51" s="200">
        <v>947.08430821769286</v>
      </c>
      <c r="AL51" s="200">
        <v>1028.0501852826903</v>
      </c>
      <c r="AM51" s="200">
        <v>1115.937804363708</v>
      </c>
      <c r="AN51" s="200">
        <v>1211.3389025513961</v>
      </c>
      <c r="AP51" s="201">
        <v>0.58387950169235836</v>
      </c>
    </row>
    <row r="52" spans="3:50" x14ac:dyDescent="0.15">
      <c r="C52" s="202"/>
      <c r="D52" s="195" t="s">
        <v>281</v>
      </c>
      <c r="E52" s="203" t="s">
        <v>136</v>
      </c>
      <c r="F52" s="337">
        <v>0.44</v>
      </c>
      <c r="G52" s="200">
        <v>0.52272000000000052</v>
      </c>
      <c r="H52" s="200">
        <v>0.66528000000000009</v>
      </c>
      <c r="I52" s="200">
        <v>0.76032000000000011</v>
      </c>
      <c r="J52" s="200">
        <v>0.76032000000000011</v>
      </c>
      <c r="K52" s="200">
        <v>0.76032000000000011</v>
      </c>
      <c r="L52" s="200">
        <v>0.76032000000000011</v>
      </c>
      <c r="M52" s="200">
        <v>0.80784000000000011</v>
      </c>
      <c r="N52" s="200">
        <v>0.76032000000000011</v>
      </c>
      <c r="O52" s="200">
        <v>0.80784000000000011</v>
      </c>
      <c r="P52" s="200">
        <v>0.95040000000000002</v>
      </c>
      <c r="Q52" s="200">
        <v>0.95040000000000002</v>
      </c>
      <c r="R52" s="200">
        <v>0.99792000000000014</v>
      </c>
      <c r="S52" s="200">
        <v>0.80760240000000072</v>
      </c>
      <c r="T52" s="200">
        <v>1.0278576000000001</v>
      </c>
      <c r="U52" s="200">
        <v>1.1746944000000001</v>
      </c>
      <c r="V52" s="200">
        <v>1.1746944000000001</v>
      </c>
      <c r="W52" s="200">
        <v>1.1746944000000001</v>
      </c>
      <c r="X52" s="200">
        <v>1.1746944000000001</v>
      </c>
      <c r="Y52" s="200">
        <v>1.2481128000000001</v>
      </c>
      <c r="Z52" s="200">
        <v>1.1746944000000001</v>
      </c>
      <c r="AA52" s="200">
        <v>1.2481128000000001</v>
      </c>
      <c r="AB52" s="200">
        <v>1.4683680000000001</v>
      </c>
      <c r="AC52" s="200">
        <v>1.4683680000000001</v>
      </c>
      <c r="AD52" s="200">
        <v>1.5417863999999999</v>
      </c>
      <c r="AE52" s="200">
        <v>9.5040000000000013</v>
      </c>
      <c r="AF52" s="200">
        <v>14.683680000000001</v>
      </c>
      <c r="AG52" s="200">
        <v>22.056111000000001</v>
      </c>
      <c r="AH52" s="200">
        <v>26.612273357999996</v>
      </c>
      <c r="AI52" s="200">
        <v>31.421954957579999</v>
      </c>
      <c r="AJ52" s="200">
        <v>34.108205928230142</v>
      </c>
      <c r="AK52" s="200">
        <v>37.024103472018751</v>
      </c>
      <c r="AL52" s="200">
        <v>40.189279987083729</v>
      </c>
      <c r="AM52" s="200">
        <v>43.625046237808078</v>
      </c>
      <c r="AN52" s="200">
        <v>47.354534837711384</v>
      </c>
      <c r="AP52" s="205">
        <v>2.2825438979693965E-2</v>
      </c>
    </row>
    <row r="53" spans="3:50" x14ac:dyDescent="0.15">
      <c r="C53" s="202"/>
      <c r="D53" s="105" t="s">
        <v>137</v>
      </c>
      <c r="E53" s="191"/>
      <c r="F53" s="136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P53" s="205"/>
      <c r="AR53" s="105"/>
    </row>
    <row r="54" spans="3:50" x14ac:dyDescent="0.15">
      <c r="C54" s="202" t="s">
        <v>141</v>
      </c>
      <c r="D54" s="206" t="s">
        <v>282</v>
      </c>
      <c r="E54" s="191"/>
      <c r="F54" s="123">
        <v>0.8</v>
      </c>
      <c r="AP54" s="209"/>
      <c r="AQ54" s="100"/>
      <c r="AR54" s="206"/>
      <c r="AS54" s="210"/>
      <c r="AT54" s="210"/>
      <c r="AU54" s="210"/>
      <c r="AV54" s="210"/>
      <c r="AW54" s="210"/>
      <c r="AX54" s="210"/>
    </row>
    <row r="55" spans="3:50" x14ac:dyDescent="0.15">
      <c r="C55" s="202"/>
      <c r="D55" s="206" t="s">
        <v>283</v>
      </c>
      <c r="E55" s="191"/>
      <c r="F55" s="207"/>
      <c r="G55" s="208">
        <v>132.10744969106074</v>
      </c>
      <c r="H55" s="208">
        <v>168.13675415225896</v>
      </c>
      <c r="I55" s="208">
        <v>192.15629045972454</v>
      </c>
      <c r="J55" s="208">
        <v>192.15629045972454</v>
      </c>
      <c r="K55" s="208">
        <v>192.15629045972454</v>
      </c>
      <c r="L55" s="208">
        <v>192.15629045972454</v>
      </c>
      <c r="M55" s="208">
        <v>204.16605861345732</v>
      </c>
      <c r="N55" s="208">
        <v>192.15629045972454</v>
      </c>
      <c r="O55" s="208">
        <v>204.16605861345732</v>
      </c>
      <c r="P55" s="208">
        <v>240.19536307465569</v>
      </c>
      <c r="Q55" s="208">
        <v>240.19536307465569</v>
      </c>
      <c r="R55" s="208">
        <v>252.20513122838844</v>
      </c>
      <c r="S55" s="208">
        <v>198.16117453659106</v>
      </c>
      <c r="T55" s="208">
        <v>252.20513122838838</v>
      </c>
      <c r="U55" s="208">
        <v>288.23443568958675</v>
      </c>
      <c r="V55" s="208">
        <v>288.23443568958675</v>
      </c>
      <c r="W55" s="208">
        <v>288.23443568958675</v>
      </c>
      <c r="X55" s="208">
        <v>288.23443568958675</v>
      </c>
      <c r="Y55" s="208">
        <v>306.2490879201859</v>
      </c>
      <c r="Z55" s="208">
        <v>288.23443568958675</v>
      </c>
      <c r="AA55" s="208">
        <v>306.2490879201859</v>
      </c>
      <c r="AB55" s="208">
        <v>360.29304461198348</v>
      </c>
      <c r="AC55" s="208">
        <v>360.29304461198348</v>
      </c>
      <c r="AD55" s="208">
        <v>378.30769684258257</v>
      </c>
      <c r="AE55" s="208">
        <v>2304</v>
      </c>
      <c r="AF55" s="208">
        <v>3456</v>
      </c>
      <c r="AG55" s="208">
        <v>5040.0000000000009</v>
      </c>
      <c r="AH55" s="208">
        <v>5904</v>
      </c>
      <c r="AI55" s="208">
        <v>6768</v>
      </c>
      <c r="AJ55" s="208">
        <v>7132.6152856425078</v>
      </c>
      <c r="AK55" s="208">
        <v>7516.873642579958</v>
      </c>
      <c r="AL55" s="208">
        <v>7921.8333101816024</v>
      </c>
      <c r="AM55" s="208">
        <v>8348.6095387874229</v>
      </c>
      <c r="AN55" s="208">
        <v>8798.3776610839286</v>
      </c>
      <c r="AP55" s="209"/>
      <c r="AQ55" s="100"/>
      <c r="AR55" s="206"/>
      <c r="AS55" s="210"/>
      <c r="AT55" s="210"/>
      <c r="AU55" s="210"/>
      <c r="AV55" s="210"/>
      <c r="AW55" s="210"/>
      <c r="AX55" s="210"/>
    </row>
    <row r="56" spans="3:50" x14ac:dyDescent="0.15">
      <c r="C56" s="202" t="s">
        <v>145</v>
      </c>
      <c r="D56" s="206" t="s">
        <v>140</v>
      </c>
      <c r="E56" s="191"/>
      <c r="F56" s="207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338">
        <v>5.0000000000000001E-3</v>
      </c>
      <c r="AF56" s="338">
        <v>5.0000000000000001E-3</v>
      </c>
      <c r="AG56" s="338">
        <v>5.0000000000000001E-3</v>
      </c>
      <c r="AH56" s="338">
        <v>4.0000000000000001E-3</v>
      </c>
      <c r="AI56" s="338">
        <v>2E-3</v>
      </c>
      <c r="AJ56" s="212">
        <v>2E-3</v>
      </c>
      <c r="AK56" s="212">
        <v>2E-3</v>
      </c>
      <c r="AL56" s="212">
        <v>2E-3</v>
      </c>
      <c r="AM56" s="212">
        <v>2E-3</v>
      </c>
      <c r="AN56" s="212">
        <v>2E-3</v>
      </c>
      <c r="AP56" s="209"/>
      <c r="AQ56" s="100"/>
      <c r="AR56" s="206"/>
      <c r="AS56" s="210"/>
      <c r="AT56" s="210"/>
      <c r="AU56" s="210"/>
      <c r="AV56" s="210"/>
      <c r="AW56" s="210"/>
      <c r="AX56" s="210"/>
    </row>
    <row r="57" spans="3:50" x14ac:dyDescent="0.15">
      <c r="C57" s="202" t="s">
        <v>148</v>
      </c>
      <c r="D57" s="206" t="s">
        <v>142</v>
      </c>
      <c r="E57" s="213" t="s">
        <v>143</v>
      </c>
      <c r="F57" s="214">
        <v>1.0999999999999999E-2</v>
      </c>
      <c r="G57" s="217">
        <v>1.453181946601668</v>
      </c>
      <c r="H57" s="217">
        <v>1.8495042956748484</v>
      </c>
      <c r="I57" s="217">
        <v>2.1137191950569698</v>
      </c>
      <c r="J57" s="217">
        <v>2.1137191950569698</v>
      </c>
      <c r="K57" s="217">
        <v>2.1137191950569698</v>
      </c>
      <c r="L57" s="217">
        <v>2.1137191950569698</v>
      </c>
      <c r="M57" s="217">
        <v>2.2458266447480306</v>
      </c>
      <c r="N57" s="217">
        <v>2.1137191950569698</v>
      </c>
      <c r="O57" s="217">
        <v>2.2458266447480306</v>
      </c>
      <c r="P57" s="217">
        <v>2.6421489938212126</v>
      </c>
      <c r="Q57" s="217">
        <v>2.6421489938212126</v>
      </c>
      <c r="R57" s="217">
        <v>2.7742564435122725</v>
      </c>
      <c r="S57" s="217">
        <v>2.1797729199025015</v>
      </c>
      <c r="T57" s="217">
        <v>2.7742564435122721</v>
      </c>
      <c r="U57" s="217">
        <v>3.1705787925854541</v>
      </c>
      <c r="V57" s="217">
        <v>3.1705787925854541</v>
      </c>
      <c r="W57" s="217">
        <v>3.1705787925854541</v>
      </c>
      <c r="X57" s="217">
        <v>3.1705787925854541</v>
      </c>
      <c r="Y57" s="217">
        <v>3.3687399671220448</v>
      </c>
      <c r="Z57" s="217">
        <v>3.1705787925854541</v>
      </c>
      <c r="AA57" s="217">
        <v>3.3687399671220448</v>
      </c>
      <c r="AB57" s="217">
        <v>3.963223490731818</v>
      </c>
      <c r="AC57" s="217">
        <v>3.963223490731818</v>
      </c>
      <c r="AD57" s="217">
        <v>4.1613846652684083</v>
      </c>
      <c r="AE57" s="338">
        <v>1.0999999999999999E-2</v>
      </c>
      <c r="AF57" s="339">
        <v>1.0999999999999999E-2</v>
      </c>
      <c r="AG57" s="339">
        <v>1.0999999999999999E-2</v>
      </c>
      <c r="AH57" s="339">
        <v>1.0999999999999999E-2</v>
      </c>
      <c r="AI57" s="339">
        <v>1.0999999999999999E-2</v>
      </c>
      <c r="AJ57" s="215">
        <v>1.0999999999999999E-2</v>
      </c>
      <c r="AK57" s="215">
        <v>1.0999999999999999E-2</v>
      </c>
      <c r="AL57" s="215">
        <v>1.0999999999999999E-2</v>
      </c>
      <c r="AM57" s="215">
        <v>1.0999999999999999E-2</v>
      </c>
      <c r="AN57" s="215">
        <v>1.0999999999999999E-2</v>
      </c>
      <c r="AP57" s="205"/>
      <c r="AQ57" s="100"/>
      <c r="AS57" s="210"/>
      <c r="AT57" s="210"/>
      <c r="AU57" s="210"/>
      <c r="AV57" s="210"/>
      <c r="AW57" s="210"/>
      <c r="AX57" s="210"/>
    </row>
    <row r="58" spans="3:50" x14ac:dyDescent="0.15">
      <c r="C58" s="202"/>
      <c r="D58" s="199" t="s">
        <v>144</v>
      </c>
      <c r="E58" s="95"/>
      <c r="F58" s="216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>
        <v>36.864000000000004</v>
      </c>
      <c r="AF58" s="217">
        <v>55.295999999999999</v>
      </c>
      <c r="AG58" s="217">
        <v>80.640000000000015</v>
      </c>
      <c r="AH58" s="217">
        <v>88.56</v>
      </c>
      <c r="AI58" s="217">
        <v>87.983999999999995</v>
      </c>
      <c r="AJ58" s="217">
        <v>92.7239987133526</v>
      </c>
      <c r="AK58" s="217">
        <v>97.719357353539451</v>
      </c>
      <c r="AL58" s="217">
        <v>102.98383303236082</v>
      </c>
      <c r="AM58" s="217">
        <v>108.53192400423649</v>
      </c>
      <c r="AN58" s="217">
        <v>114.37890959409107</v>
      </c>
      <c r="AP58" s="205">
        <v>5.5131970580033135E-2</v>
      </c>
      <c r="AQ58" s="100"/>
      <c r="AS58" s="210"/>
      <c r="AT58" s="210"/>
      <c r="AU58" s="210"/>
      <c r="AV58" s="210"/>
      <c r="AW58" s="210"/>
      <c r="AX58" s="210"/>
    </row>
    <row r="59" spans="3:50" x14ac:dyDescent="0.15">
      <c r="C59" s="202" t="s">
        <v>152</v>
      </c>
      <c r="D59" s="195" t="s">
        <v>146</v>
      </c>
      <c r="E59" s="191"/>
      <c r="F59" s="218">
        <v>0.8</v>
      </c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P59" s="209"/>
      <c r="AQ59" s="100"/>
      <c r="AS59" s="210"/>
      <c r="AT59" s="210"/>
      <c r="AU59" s="210"/>
      <c r="AV59" s="210"/>
      <c r="AW59" s="210"/>
      <c r="AX59" s="210"/>
    </row>
    <row r="60" spans="3:50" x14ac:dyDescent="0.15">
      <c r="C60" s="202"/>
      <c r="D60" s="195" t="s">
        <v>284</v>
      </c>
      <c r="E60" s="191"/>
      <c r="F60" s="220"/>
      <c r="G60" s="219">
        <v>132.10744969106074</v>
      </c>
      <c r="H60" s="219">
        <v>168.13675415225896</v>
      </c>
      <c r="I60" s="219">
        <v>192.15629045972454</v>
      </c>
      <c r="J60" s="219">
        <v>192.15629045972454</v>
      </c>
      <c r="K60" s="219">
        <v>192.15629045972454</v>
      </c>
      <c r="L60" s="219">
        <v>192.15629045972454</v>
      </c>
      <c r="M60" s="219">
        <v>204.16605861345732</v>
      </c>
      <c r="N60" s="219">
        <v>192.15629045972454</v>
      </c>
      <c r="O60" s="219">
        <v>204.16605861345732</v>
      </c>
      <c r="P60" s="219">
        <v>240.19536307465569</v>
      </c>
      <c r="Q60" s="219">
        <v>240.19536307465569</v>
      </c>
      <c r="R60" s="219">
        <v>252.20513122838844</v>
      </c>
      <c r="S60" s="219">
        <v>198.16117453659106</v>
      </c>
      <c r="T60" s="219">
        <v>252.20513122838838</v>
      </c>
      <c r="U60" s="219">
        <v>288.23443568958675</v>
      </c>
      <c r="V60" s="219">
        <v>288.23443568958675</v>
      </c>
      <c r="W60" s="219">
        <v>288.23443568958675</v>
      </c>
      <c r="X60" s="219">
        <v>288.23443568958675</v>
      </c>
      <c r="Y60" s="219">
        <v>306.2490879201859</v>
      </c>
      <c r="Z60" s="219">
        <v>288.23443568958675</v>
      </c>
      <c r="AA60" s="219">
        <v>306.2490879201859</v>
      </c>
      <c r="AB60" s="219">
        <v>360.29304461198348</v>
      </c>
      <c r="AC60" s="219">
        <v>360.29304461198348</v>
      </c>
      <c r="AD60" s="219">
        <v>378.30769684258257</v>
      </c>
      <c r="AE60" s="219">
        <v>2304</v>
      </c>
      <c r="AF60" s="219">
        <v>3456</v>
      </c>
      <c r="AG60" s="219">
        <v>5040.0000000000009</v>
      </c>
      <c r="AH60" s="219">
        <v>5904</v>
      </c>
      <c r="AI60" s="219">
        <v>6768</v>
      </c>
      <c r="AJ60" s="219">
        <v>7132.6152856425078</v>
      </c>
      <c r="AK60" s="219">
        <v>7516.873642579958</v>
      </c>
      <c r="AL60" s="219">
        <v>7921.8333101816024</v>
      </c>
      <c r="AM60" s="219">
        <v>8348.6095387874229</v>
      </c>
      <c r="AN60" s="219">
        <v>8798.3776610839286</v>
      </c>
      <c r="AP60" s="222"/>
      <c r="AQ60" s="100"/>
      <c r="AS60" s="210"/>
      <c r="AT60" s="210"/>
      <c r="AU60" s="210"/>
      <c r="AV60" s="210"/>
      <c r="AW60" s="210"/>
      <c r="AX60" s="210"/>
    </row>
    <row r="61" spans="3:50" x14ac:dyDescent="0.15">
      <c r="C61" s="202" t="s">
        <v>154</v>
      </c>
      <c r="D61" s="181" t="s">
        <v>285</v>
      </c>
      <c r="E61" s="154" t="s">
        <v>150</v>
      </c>
      <c r="F61" s="340">
        <v>7.0000000000000001E-3</v>
      </c>
      <c r="G61" s="217">
        <v>0.92475214783742521</v>
      </c>
      <c r="H61" s="217">
        <v>1.1769572790658127</v>
      </c>
      <c r="I61" s="217">
        <v>1.3450940332180719</v>
      </c>
      <c r="J61" s="217">
        <v>1.3450940332180719</v>
      </c>
      <c r="K61" s="217">
        <v>1.3450940332180719</v>
      </c>
      <c r="L61" s="217">
        <v>1.3450940332180719</v>
      </c>
      <c r="M61" s="217">
        <v>1.4291624102942013</v>
      </c>
      <c r="N61" s="217">
        <v>1.3450940332180719</v>
      </c>
      <c r="O61" s="217">
        <v>1.4291624102942013</v>
      </c>
      <c r="P61" s="217">
        <v>1.6813675415225899</v>
      </c>
      <c r="Q61" s="217">
        <v>1.6813675415225899</v>
      </c>
      <c r="R61" s="217">
        <v>1.7654359185987192</v>
      </c>
      <c r="S61" s="217">
        <v>1.3871282217561374</v>
      </c>
      <c r="T61" s="217">
        <v>1.7654359185987187</v>
      </c>
      <c r="U61" s="217">
        <v>2.0176410498271071</v>
      </c>
      <c r="V61" s="217">
        <v>2.0176410498271071</v>
      </c>
      <c r="W61" s="217">
        <v>2.0176410498271071</v>
      </c>
      <c r="X61" s="217">
        <v>2.0176410498271071</v>
      </c>
      <c r="Y61" s="217">
        <v>2.1437436154413012</v>
      </c>
      <c r="Z61" s="217">
        <v>2.0176410498271071</v>
      </c>
      <c r="AA61" s="217">
        <v>2.1437436154413012</v>
      </c>
      <c r="AB61" s="217">
        <v>2.5220513122838844</v>
      </c>
      <c r="AC61" s="217">
        <v>2.5220513122838844</v>
      </c>
      <c r="AD61" s="217">
        <v>2.648153877898078</v>
      </c>
      <c r="AE61" s="217">
        <v>16.128</v>
      </c>
      <c r="AF61" s="217">
        <v>24.192</v>
      </c>
      <c r="AG61" s="217">
        <v>35.280000000000008</v>
      </c>
      <c r="AH61" s="217">
        <v>41.328000000000003</v>
      </c>
      <c r="AI61" s="217">
        <v>47.375999999999998</v>
      </c>
      <c r="AJ61" s="217">
        <v>49.928306999497558</v>
      </c>
      <c r="AK61" s="217">
        <v>52.618115498059709</v>
      </c>
      <c r="AL61" s="217">
        <v>55.452833171271216</v>
      </c>
      <c r="AM61" s="217">
        <v>58.440266771511965</v>
      </c>
      <c r="AN61" s="217">
        <v>61.588643627587501</v>
      </c>
      <c r="AP61" s="341">
        <v>2.968644569694092E-2</v>
      </c>
      <c r="AQ61" s="113"/>
      <c r="AR61" s="105"/>
      <c r="AS61" s="210"/>
      <c r="AT61" s="210"/>
      <c r="AU61" s="210"/>
      <c r="AV61" s="210"/>
      <c r="AW61" s="210"/>
      <c r="AX61" s="210"/>
    </row>
    <row r="62" spans="3:50" x14ac:dyDescent="0.15">
      <c r="C62" s="202" t="s">
        <v>166</v>
      </c>
      <c r="D62" s="195" t="s">
        <v>286</v>
      </c>
      <c r="E62" s="191"/>
      <c r="F62" s="342">
        <v>2.75E-2</v>
      </c>
      <c r="G62" s="217">
        <v>0.80111196000000073</v>
      </c>
      <c r="H62" s="217">
        <v>1.0195970400000001</v>
      </c>
      <c r="I62" s="217">
        <v>1.1652537599999999</v>
      </c>
      <c r="J62" s="217">
        <v>1.1652537599999999</v>
      </c>
      <c r="K62" s="217">
        <v>1.1652537599999999</v>
      </c>
      <c r="L62" s="217">
        <v>1.1652537599999999</v>
      </c>
      <c r="M62" s="217">
        <v>1.2380821200000001</v>
      </c>
      <c r="N62" s="217">
        <v>1.1652537599999999</v>
      </c>
      <c r="O62" s="217">
        <v>1.2380821200000001</v>
      </c>
      <c r="P62" s="217">
        <v>1.4565672000000001</v>
      </c>
      <c r="Q62" s="217">
        <v>1.4565672000000001</v>
      </c>
      <c r="R62" s="217">
        <v>1.5293955599999998</v>
      </c>
      <c r="S62" s="217">
        <v>1.2377179782000007</v>
      </c>
      <c r="T62" s="217">
        <v>1.5752774267999998</v>
      </c>
      <c r="U62" s="217">
        <v>1.8003170591999997</v>
      </c>
      <c r="V62" s="217">
        <v>1.8003170591999997</v>
      </c>
      <c r="W62" s="217">
        <v>1.8003170591999997</v>
      </c>
      <c r="X62" s="217">
        <v>1.8003170591999997</v>
      </c>
      <c r="Y62" s="217">
        <v>1.9128368753999998</v>
      </c>
      <c r="Z62" s="217">
        <v>1.8003170591999997</v>
      </c>
      <c r="AA62" s="217">
        <v>1.9128368753999998</v>
      </c>
      <c r="AB62" s="217">
        <v>2.250396324</v>
      </c>
      <c r="AC62" s="217">
        <v>2.250396324</v>
      </c>
      <c r="AD62" s="217">
        <v>2.3629161401999994</v>
      </c>
      <c r="AE62" s="217">
        <v>14.565671999999999</v>
      </c>
      <c r="AF62" s="217">
        <v>22.503963239999997</v>
      </c>
      <c r="AG62" s="217">
        <v>33.802828116750007</v>
      </c>
      <c r="AH62" s="217">
        <v>40.785526610581492</v>
      </c>
      <c r="AI62" s="217">
        <v>48.156764468737819</v>
      </c>
      <c r="AJ62" s="217">
        <v>52.27366793550673</v>
      </c>
      <c r="AK62" s="217">
        <v>56.74252391282473</v>
      </c>
      <c r="AL62" s="217">
        <v>61.593420686871418</v>
      </c>
      <c r="AM62" s="217">
        <v>66.859018779960707</v>
      </c>
      <c r="AN62" s="217">
        <v>72.574770850029168</v>
      </c>
      <c r="AP62" s="205">
        <v>3.4981887356295975E-2</v>
      </c>
      <c r="AR62" s="195"/>
      <c r="AW62" s="210"/>
      <c r="AX62" s="210"/>
    </row>
    <row r="63" spans="3:50" x14ac:dyDescent="0.15">
      <c r="C63" s="202" t="s">
        <v>168</v>
      </c>
      <c r="D63" s="195" t="s">
        <v>287</v>
      </c>
      <c r="E63" s="343" t="s">
        <v>288</v>
      </c>
      <c r="F63" s="337">
        <v>0.12</v>
      </c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37">
        <v>63.559295999999996</v>
      </c>
      <c r="AF63" s="237">
        <v>98.199112319999983</v>
      </c>
      <c r="AG63" s="237">
        <v>73.75162498200001</v>
      </c>
      <c r="AH63" s="237">
        <v>88.986603513995973</v>
      </c>
      <c r="AI63" s="237">
        <v>105.06930429542797</v>
      </c>
      <c r="AJ63" s="237">
        <v>114.05163913201467</v>
      </c>
      <c r="AK63" s="237">
        <v>123.80187035525395</v>
      </c>
      <c r="AL63" s="237">
        <v>134.38564513499219</v>
      </c>
      <c r="AM63" s="237">
        <v>145.87422279264155</v>
      </c>
      <c r="AN63" s="237">
        <v>158.34495458188184</v>
      </c>
      <c r="AP63" s="205">
        <v>7.6324117868282124E-2</v>
      </c>
      <c r="AR63" s="195"/>
    </row>
    <row r="64" spans="3:50" x14ac:dyDescent="0.15">
      <c r="C64" s="202" t="s">
        <v>170</v>
      </c>
      <c r="D64" s="114" t="s">
        <v>289</v>
      </c>
      <c r="E64" s="203" t="s">
        <v>136</v>
      </c>
      <c r="F64" s="337">
        <v>0.12</v>
      </c>
      <c r="G64" s="237">
        <v>5.296608</v>
      </c>
      <c r="H64" s="237">
        <v>5.296608</v>
      </c>
      <c r="I64" s="237">
        <v>5.296608</v>
      </c>
      <c r="J64" s="237">
        <v>5.296608</v>
      </c>
      <c r="K64" s="237">
        <v>5.296608</v>
      </c>
      <c r="L64" s="237">
        <v>5.296608</v>
      </c>
      <c r="M64" s="237">
        <v>5.296608</v>
      </c>
      <c r="N64" s="237">
        <v>5.296608</v>
      </c>
      <c r="O64" s="237">
        <v>5.296608</v>
      </c>
      <c r="P64" s="237">
        <v>5.296608</v>
      </c>
      <c r="Q64" s="237">
        <v>5.296608</v>
      </c>
      <c r="R64" s="237">
        <v>5.296608</v>
      </c>
      <c r="S64" s="237">
        <v>8.1832593599999992</v>
      </c>
      <c r="T64" s="237">
        <v>8.1832593599999992</v>
      </c>
      <c r="U64" s="237">
        <v>8.1832593599999992</v>
      </c>
      <c r="V64" s="237">
        <v>8.1832593599999992</v>
      </c>
      <c r="W64" s="237">
        <v>8.1832593599999992</v>
      </c>
      <c r="X64" s="237">
        <v>8.1832593599999992</v>
      </c>
      <c r="Y64" s="237">
        <v>8.1832593599999992</v>
      </c>
      <c r="Z64" s="237">
        <v>8.1832593599999992</v>
      </c>
      <c r="AA64" s="237">
        <v>8.1832593599999992</v>
      </c>
      <c r="AB64" s="237">
        <v>8.1832593599999992</v>
      </c>
      <c r="AC64" s="237">
        <v>8.1832593599999992</v>
      </c>
      <c r="AD64" s="237">
        <v>8.1832593599999992</v>
      </c>
      <c r="AE64" s="237">
        <v>63.559295999999996</v>
      </c>
      <c r="AF64" s="237">
        <v>98.199112319999983</v>
      </c>
      <c r="AG64" s="237">
        <v>147.50324996400002</v>
      </c>
      <c r="AH64" s="237">
        <v>177.97320702799195</v>
      </c>
      <c r="AI64" s="237">
        <v>210.13860859085594</v>
      </c>
      <c r="AJ64" s="237">
        <v>228.10327826402934</v>
      </c>
      <c r="AK64" s="237">
        <v>247.60374071050791</v>
      </c>
      <c r="AL64" s="237">
        <v>268.77129026998438</v>
      </c>
      <c r="AM64" s="237">
        <v>291.74844558528309</v>
      </c>
      <c r="AN64" s="237">
        <v>316.68990916376367</v>
      </c>
      <c r="AP64" s="205">
        <v>0.15264823573656425</v>
      </c>
      <c r="AR64" s="195"/>
      <c r="AX64" s="210"/>
    </row>
    <row r="65" spans="1:50" x14ac:dyDescent="0.15">
      <c r="C65" s="202" t="s">
        <v>170</v>
      </c>
      <c r="D65" s="114" t="s">
        <v>290</v>
      </c>
      <c r="E65" s="100"/>
      <c r="F65" s="344">
        <v>0.125</v>
      </c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  <c r="AA65" s="237"/>
      <c r="AB65" s="237"/>
      <c r="AC65" s="237"/>
      <c r="AD65" s="237"/>
      <c r="AE65" s="237"/>
      <c r="AF65" s="237"/>
      <c r="AG65" s="237">
        <v>18.437906245500002</v>
      </c>
      <c r="AH65" s="237">
        <v>22.246650878498993</v>
      </c>
      <c r="AI65" s="237">
        <v>26.267326073856992</v>
      </c>
      <c r="AJ65" s="237">
        <v>28.512909783003668</v>
      </c>
      <c r="AK65" s="237">
        <v>30.950467588813488</v>
      </c>
      <c r="AL65" s="237">
        <v>33.596411283748047</v>
      </c>
      <c r="AM65" s="237">
        <v>36.468555698160387</v>
      </c>
      <c r="AN65" s="237">
        <v>39.586238645470459</v>
      </c>
      <c r="AP65" s="205">
        <v>1.9081029467070531E-2</v>
      </c>
      <c r="AW65" s="210"/>
      <c r="AX65" s="210"/>
    </row>
    <row r="66" spans="1:50" x14ac:dyDescent="0.15">
      <c r="C66" s="202" t="s">
        <v>172</v>
      </c>
      <c r="D66" s="109" t="s">
        <v>291</v>
      </c>
      <c r="E66" s="100"/>
      <c r="F66" s="344">
        <v>0.02</v>
      </c>
      <c r="G66" s="237"/>
      <c r="H66" s="237"/>
      <c r="I66" s="237"/>
      <c r="J66" s="237"/>
      <c r="K66" s="237"/>
      <c r="L66" s="237"/>
      <c r="M66" s="237"/>
      <c r="N66" s="237"/>
      <c r="O66" s="237"/>
      <c r="P66" s="237"/>
      <c r="Q66" s="237"/>
      <c r="R66" s="237"/>
      <c r="S66" s="237"/>
      <c r="T66" s="237"/>
      <c r="U66" s="237"/>
      <c r="V66" s="237"/>
      <c r="W66" s="237"/>
      <c r="X66" s="237"/>
      <c r="Y66" s="237"/>
      <c r="Z66" s="237"/>
      <c r="AA66" s="237"/>
      <c r="AB66" s="237"/>
      <c r="AC66" s="237"/>
      <c r="AD66" s="237"/>
      <c r="AE66" s="237"/>
      <c r="AF66" s="237"/>
      <c r="AG66" s="237">
        <v>24.583874994000002</v>
      </c>
      <c r="AH66" s="237">
        <v>29.662201171331994</v>
      </c>
      <c r="AI66" s="237">
        <v>35.023101431809323</v>
      </c>
      <c r="AJ66" s="237">
        <v>38.017213044004897</v>
      </c>
      <c r="AK66" s="237">
        <v>41.267290118417989</v>
      </c>
      <c r="AL66" s="237">
        <v>44.795215044997398</v>
      </c>
      <c r="AM66" s="237">
        <v>48.62474093088052</v>
      </c>
      <c r="AN66" s="237">
        <v>52.781651527293945</v>
      </c>
      <c r="AP66" s="345">
        <v>2.5441372622760708E-2</v>
      </c>
      <c r="AW66" s="210"/>
      <c r="AX66" s="210"/>
    </row>
    <row r="67" spans="1:50" x14ac:dyDescent="0.15">
      <c r="C67" s="202"/>
      <c r="D67" s="97" t="s">
        <v>292</v>
      </c>
      <c r="E67" s="191"/>
      <c r="F67" s="346"/>
      <c r="G67" s="229">
        <f>G51+G52+G57+G61+SUM(G62:G66)</f>
        <v>22.369660950439105</v>
      </c>
      <c r="H67" s="229">
        <f t="shared" ref="H67:AD67" si="18">H51+H52+H57+H61+SUM(H62:H66)</f>
        <v>27.025948118740661</v>
      </c>
      <c r="I67" s="229">
        <f t="shared" si="18"/>
        <v>30.130139564275041</v>
      </c>
      <c r="J67" s="229">
        <f t="shared" si="18"/>
        <v>30.130139564275041</v>
      </c>
      <c r="K67" s="229">
        <f t="shared" si="18"/>
        <v>30.130139564275041</v>
      </c>
      <c r="L67" s="229">
        <f t="shared" si="18"/>
        <v>30.130139564275041</v>
      </c>
      <c r="M67" s="229">
        <f t="shared" si="18"/>
        <v>31.682235287042232</v>
      </c>
      <c r="N67" s="229">
        <f t="shared" si="18"/>
        <v>30.130139564275041</v>
      </c>
      <c r="O67" s="229">
        <f t="shared" si="18"/>
        <v>31.682235287042232</v>
      </c>
      <c r="P67" s="229">
        <f t="shared" si="18"/>
        <v>36.338522455343806</v>
      </c>
      <c r="Q67" s="229">
        <f t="shared" si="18"/>
        <v>36.338522455343806</v>
      </c>
      <c r="R67" s="229">
        <f t="shared" si="18"/>
        <v>37.890618178110991</v>
      </c>
      <c r="S67" s="229">
        <f t="shared" si="18"/>
        <v>34.454119134178654</v>
      </c>
      <c r="T67" s="229">
        <f t="shared" si="18"/>
        <v>41.618899072590985</v>
      </c>
      <c r="U67" s="229">
        <f t="shared" si="18"/>
        <v>46.395419031532555</v>
      </c>
      <c r="V67" s="229">
        <f t="shared" si="18"/>
        <v>46.395419031532555</v>
      </c>
      <c r="W67" s="229">
        <f t="shared" si="18"/>
        <v>46.395419031532555</v>
      </c>
      <c r="X67" s="229">
        <f t="shared" si="18"/>
        <v>46.395419031532555</v>
      </c>
      <c r="Y67" s="229">
        <f t="shared" si="18"/>
        <v>48.783679011003343</v>
      </c>
      <c r="Z67" s="229">
        <f t="shared" si="18"/>
        <v>46.395419031532555</v>
      </c>
      <c r="AA67" s="229">
        <f t="shared" si="18"/>
        <v>48.783679011003343</v>
      </c>
      <c r="AB67" s="229">
        <f t="shared" si="18"/>
        <v>55.948458949415702</v>
      </c>
      <c r="AC67" s="229">
        <f t="shared" si="18"/>
        <v>55.948458949415702</v>
      </c>
      <c r="AD67" s="229">
        <f t="shared" si="18"/>
        <v>58.336718928886476</v>
      </c>
      <c r="AE67" s="229">
        <f t="shared" ref="AE67:AN67" si="19">AE51+AE52+AE58+AE61+SUM(AE62:AE66)</f>
        <v>447.29457120000001</v>
      </c>
      <c r="AF67" s="229">
        <f t="shared" si="19"/>
        <v>688.6854725039999</v>
      </c>
      <c r="AG67" s="229">
        <f t="shared" si="19"/>
        <v>1000.2555264145501</v>
      </c>
      <c r="AH67" s="229">
        <f t="shared" si="19"/>
        <v>1196.9019794424696</v>
      </c>
      <c r="AI67" s="229">
        <f t="shared" si="19"/>
        <v>1395.2172376782921</v>
      </c>
      <c r="AJ67" s="229">
        <f t="shared" si="19"/>
        <v>1510.2142591595521</v>
      </c>
      <c r="AK67" s="229">
        <f t="shared" si="19"/>
        <v>1634.8117772271289</v>
      </c>
      <c r="AL67" s="229">
        <f t="shared" si="19"/>
        <v>1769.8181138939995</v>
      </c>
      <c r="AM67" s="229">
        <f t="shared" si="19"/>
        <v>1916.1100251641906</v>
      </c>
      <c r="AN67" s="229">
        <f t="shared" si="19"/>
        <v>2074.6385153792253</v>
      </c>
      <c r="AP67" s="138">
        <f>(AN67/AE67)^(1/9)-1</f>
        <v>0.18587457122857898</v>
      </c>
      <c r="AQ67" s="139" t="s">
        <v>101</v>
      </c>
      <c r="AS67" s="210"/>
      <c r="AT67" s="210"/>
      <c r="AU67" s="210"/>
      <c r="AV67" s="210"/>
      <c r="AW67" s="210"/>
      <c r="AX67" s="210"/>
    </row>
    <row r="68" spans="1:50" x14ac:dyDescent="0.15">
      <c r="C68" s="202"/>
      <c r="E68" s="191"/>
      <c r="F68" s="192"/>
      <c r="G68" s="100"/>
      <c r="H68" s="100"/>
      <c r="I68" s="100"/>
      <c r="J68" s="100"/>
      <c r="K68" s="100"/>
      <c r="L68" s="100"/>
    </row>
    <row r="69" spans="1:50" x14ac:dyDescent="0.15">
      <c r="C69" s="202"/>
      <c r="D69" s="99" t="s">
        <v>161</v>
      </c>
      <c r="E69" s="100"/>
      <c r="F69" s="23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</row>
    <row r="70" spans="1:50" x14ac:dyDescent="0.15">
      <c r="C70" s="202" t="s">
        <v>179</v>
      </c>
      <c r="D70" s="100" t="s">
        <v>180</v>
      </c>
      <c r="E70" s="242"/>
      <c r="F70" s="347">
        <v>3.3284987254051573E-2</v>
      </c>
      <c r="G70" s="348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5"/>
      <c r="U70" s="245"/>
      <c r="V70" s="245"/>
      <c r="W70" s="245"/>
      <c r="X70" s="245"/>
      <c r="Y70" s="245"/>
      <c r="Z70" s="245"/>
      <c r="AA70" s="245"/>
      <c r="AB70" s="245"/>
      <c r="AC70" s="245"/>
      <c r="AD70" s="244"/>
      <c r="AE70" s="237">
        <v>17.62975297697076</v>
      </c>
      <c r="AF70" s="237">
        <v>27.23796834941982</v>
      </c>
      <c r="AG70" s="237">
        <v>40.913698291524362</v>
      </c>
      <c r="AH70" s="237">
        <v>49.365299395744955</v>
      </c>
      <c r="AI70" s="237">
        <v>58.287174237756439</v>
      </c>
      <c r="AJ70" s="237">
        <v>63.270122580213304</v>
      </c>
      <c r="AK70" s="237">
        <v>68.679061280039562</v>
      </c>
      <c r="AL70" s="237">
        <v>74.550408090761877</v>
      </c>
      <c r="AM70" s="237">
        <v>80.923694105795889</v>
      </c>
      <c r="AN70" s="237">
        <v>87.841829916688539</v>
      </c>
      <c r="AP70" s="18"/>
      <c r="AQ70" s="18"/>
    </row>
    <row r="71" spans="1:50" x14ac:dyDescent="0.15">
      <c r="C71" s="202"/>
      <c r="D71" s="105" t="s">
        <v>151</v>
      </c>
      <c r="E71" s="100"/>
      <c r="F71" s="223"/>
      <c r="G71" s="200"/>
      <c r="H71" s="200"/>
      <c r="I71" s="200"/>
      <c r="J71" s="200"/>
      <c r="K71" s="200"/>
      <c r="L71" s="200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17"/>
      <c r="AG71" s="217"/>
      <c r="AH71" s="217"/>
      <c r="AI71" s="217"/>
      <c r="AJ71" s="217"/>
      <c r="AK71" s="217"/>
      <c r="AL71" s="217"/>
      <c r="AM71" s="217"/>
      <c r="AN71" s="217"/>
      <c r="AP71" s="349"/>
      <c r="AQ71" s="100"/>
      <c r="AS71" s="210"/>
      <c r="AT71" s="210"/>
      <c r="AU71" s="210"/>
      <c r="AV71" s="210"/>
      <c r="AW71" s="210"/>
      <c r="AX71" s="210"/>
    </row>
    <row r="72" spans="1:50" x14ac:dyDescent="0.15">
      <c r="C72" s="202" t="s">
        <v>162</v>
      </c>
      <c r="D72" s="206" t="s">
        <v>293</v>
      </c>
      <c r="E72" s="191"/>
      <c r="F72" s="224">
        <v>0.125</v>
      </c>
      <c r="G72" s="200">
        <v>0.72828360000000048</v>
      </c>
      <c r="H72" s="200">
        <v>0.9269063999999998</v>
      </c>
      <c r="I72" s="200">
        <v>1.0593215999999999</v>
      </c>
      <c r="J72" s="200">
        <v>1.0593215999999999</v>
      </c>
      <c r="K72" s="200">
        <v>1.0593215999999999</v>
      </c>
      <c r="L72" s="200">
        <v>1.0593215999999999</v>
      </c>
      <c r="M72" s="200">
        <v>1.1255291999999999</v>
      </c>
      <c r="N72" s="200">
        <v>1.0593215999999999</v>
      </c>
      <c r="O72" s="200">
        <v>1.1255291999999999</v>
      </c>
      <c r="P72" s="200">
        <v>1.3241519999999998</v>
      </c>
      <c r="Q72" s="200">
        <v>1.3241519999999998</v>
      </c>
      <c r="R72" s="200">
        <v>1.3903595999999996</v>
      </c>
      <c r="S72" s="200">
        <v>1.1251981620000004</v>
      </c>
      <c r="T72" s="200">
        <v>1.4320703879999994</v>
      </c>
      <c r="U72" s="200">
        <v>1.6366518719999994</v>
      </c>
      <c r="V72" s="200">
        <v>1.6366518719999994</v>
      </c>
      <c r="W72" s="200">
        <v>1.6366518719999994</v>
      </c>
      <c r="X72" s="200">
        <v>1.6366518719999994</v>
      </c>
      <c r="Y72" s="200">
        <v>1.7389426139999993</v>
      </c>
      <c r="Z72" s="200">
        <v>1.6366518719999994</v>
      </c>
      <c r="AA72" s="200">
        <v>1.7389426139999993</v>
      </c>
      <c r="AB72" s="200">
        <v>2.0458148399999994</v>
      </c>
      <c r="AC72" s="200">
        <v>2.0458148399999994</v>
      </c>
      <c r="AD72" s="200">
        <v>2.148105581999999</v>
      </c>
      <c r="AP72" s="234"/>
      <c r="AQ72" s="100"/>
      <c r="AS72" s="195"/>
      <c r="AT72" s="210"/>
      <c r="AU72" s="210"/>
      <c r="AV72" s="210"/>
      <c r="AW72" s="210"/>
      <c r="AX72" s="210"/>
    </row>
    <row r="73" spans="1:50" x14ac:dyDescent="0.15">
      <c r="C73" s="202" t="s">
        <v>164</v>
      </c>
      <c r="D73" s="206" t="s">
        <v>294</v>
      </c>
      <c r="E73" s="191"/>
      <c r="F73" s="218">
        <v>0.8</v>
      </c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P73" s="350"/>
      <c r="AQ73" s="100"/>
      <c r="AS73" s="195"/>
      <c r="AT73" s="210"/>
      <c r="AU73" s="210"/>
      <c r="AV73" s="210"/>
      <c r="AW73" s="210"/>
      <c r="AX73" s="210"/>
    </row>
    <row r="74" spans="1:50" x14ac:dyDescent="0.15">
      <c r="C74" s="202"/>
      <c r="D74" s="206" t="s">
        <v>295</v>
      </c>
      <c r="E74" s="191"/>
      <c r="F74" s="207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0"/>
      <c r="AC74" s="200"/>
      <c r="AD74" s="200"/>
      <c r="AE74" s="200">
        <v>12.701519999999997</v>
      </c>
      <c r="AF74" s="200">
        <v>20.458148399999992</v>
      </c>
      <c r="AG74" s="200">
        <v>30.729843742499995</v>
      </c>
      <c r="AH74" s="200">
        <v>37.077751464164983</v>
      </c>
      <c r="AI74" s="200">
        <v>43.778876789761647</v>
      </c>
      <c r="AJ74" s="200">
        <v>47.521516305006109</v>
      </c>
      <c r="AK74" s="200">
        <v>51.584112648022469</v>
      </c>
      <c r="AL74" s="200">
        <v>55.994018806246729</v>
      </c>
      <c r="AM74" s="200">
        <v>60.780926163600633</v>
      </c>
      <c r="AN74" s="200">
        <v>65.977064409117418</v>
      </c>
      <c r="AP74" s="350"/>
      <c r="AQ74" s="100"/>
      <c r="AR74" s="206"/>
      <c r="AS74" s="195"/>
      <c r="AT74" s="210"/>
      <c r="AU74" s="210"/>
      <c r="AV74" s="210"/>
      <c r="AW74" s="210"/>
      <c r="AX74" s="210"/>
    </row>
    <row r="75" spans="1:50" x14ac:dyDescent="0.15">
      <c r="C75" s="202"/>
      <c r="D75" s="206" t="s">
        <v>296</v>
      </c>
      <c r="E75" s="191"/>
      <c r="F75" s="351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  <c r="AA75" s="200"/>
      <c r="AB75" s="200"/>
      <c r="AC75" s="200"/>
      <c r="AD75" s="200"/>
      <c r="AE75" s="208">
        <v>518.4</v>
      </c>
      <c r="AF75" s="208">
        <v>777.6</v>
      </c>
      <c r="AG75" s="208">
        <v>1134.0000000000002</v>
      </c>
      <c r="AH75" s="208">
        <v>1328.4</v>
      </c>
      <c r="AI75" s="208">
        <v>1522.8000000000002</v>
      </c>
      <c r="AJ75" s="208">
        <v>1604.8384392695643</v>
      </c>
      <c r="AK75" s="208">
        <v>1691.2965695804905</v>
      </c>
      <c r="AL75" s="208">
        <v>1782.4124947908606</v>
      </c>
      <c r="AM75" s="208">
        <v>1878.4371462271702</v>
      </c>
      <c r="AN75" s="208">
        <v>1979.6349737438841</v>
      </c>
      <c r="AP75" s="234"/>
      <c r="AQ75" s="100"/>
      <c r="AR75" s="352"/>
      <c r="AS75" s="195"/>
      <c r="AT75" s="210"/>
      <c r="AU75" s="225"/>
      <c r="AV75" s="210"/>
      <c r="AW75" s="210"/>
      <c r="AX75" s="210"/>
    </row>
    <row r="76" spans="1:50" x14ac:dyDescent="0.15">
      <c r="C76" s="202"/>
      <c r="D76" s="206" t="s">
        <v>297</v>
      </c>
      <c r="E76" s="191"/>
      <c r="F76" s="351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17">
        <v>5.702399999999999</v>
      </c>
      <c r="AF76" s="217">
        <v>8.5535999999999994</v>
      </c>
      <c r="AG76" s="217">
        <v>12.474000000000002</v>
      </c>
      <c r="AH76" s="217">
        <v>14.612400000000001</v>
      </c>
      <c r="AI76" s="217">
        <v>16.750800000000002</v>
      </c>
      <c r="AJ76" s="217">
        <v>17.653222831965206</v>
      </c>
      <c r="AK76" s="217">
        <v>18.604262265385394</v>
      </c>
      <c r="AL76" s="217">
        <v>19.606537442699466</v>
      </c>
      <c r="AM76" s="217">
        <v>20.662808608498871</v>
      </c>
      <c r="AN76" s="217">
        <v>21.775984711182723</v>
      </c>
      <c r="AP76" s="234"/>
      <c r="AQ76" s="100"/>
      <c r="AS76" s="195"/>
      <c r="AT76" s="210"/>
      <c r="AU76" s="225"/>
      <c r="AV76" s="210"/>
      <c r="AW76" s="210"/>
      <c r="AX76" s="210"/>
    </row>
    <row r="77" spans="1:50" x14ac:dyDescent="0.15">
      <c r="C77" s="202"/>
      <c r="D77" s="199" t="s">
        <v>298</v>
      </c>
      <c r="E77" s="191"/>
      <c r="G77" s="200"/>
      <c r="H77" s="200"/>
      <c r="I77" s="200"/>
      <c r="J77" s="200"/>
      <c r="K77" s="200"/>
      <c r="L77" s="200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317">
        <v>18.403919999999996</v>
      </c>
      <c r="AF77" s="317">
        <v>29.011748399999991</v>
      </c>
      <c r="AG77" s="317">
        <v>43.203843742499998</v>
      </c>
      <c r="AH77" s="317">
        <v>51.690151464164984</v>
      </c>
      <c r="AI77" s="317">
        <v>60.529676789761652</v>
      </c>
      <c r="AJ77" s="317">
        <v>65.174739136971311</v>
      </c>
      <c r="AK77" s="317">
        <v>70.18837491340787</v>
      </c>
      <c r="AL77" s="317">
        <v>75.600556248946191</v>
      </c>
      <c r="AM77" s="317">
        <v>81.443734772099504</v>
      </c>
      <c r="AN77" s="317">
        <v>87.753049120300147</v>
      </c>
      <c r="AP77" s="234"/>
      <c r="AQ77" s="113"/>
      <c r="AS77" s="195"/>
      <c r="AT77" s="210"/>
      <c r="AU77" s="210"/>
      <c r="AV77" s="210"/>
      <c r="AW77" s="210"/>
      <c r="AX77" s="210"/>
    </row>
    <row r="78" spans="1:50" s="100" customFormat="1" x14ac:dyDescent="0.15">
      <c r="A78" s="202"/>
      <c r="B78" s="202"/>
      <c r="C78" s="202"/>
      <c r="D78" s="99" t="s">
        <v>181</v>
      </c>
      <c r="F78" s="230"/>
      <c r="G78" s="353">
        <f>G18*$AE$78</f>
        <v>1.9818520137333933</v>
      </c>
      <c r="H78" s="353">
        <f t="shared" ref="H78:R78" si="20">H18*$AE$78</f>
        <v>2.5223571083879532</v>
      </c>
      <c r="I78" s="353">
        <f t="shared" si="20"/>
        <v>2.8826938381576603</v>
      </c>
      <c r="J78" s="353">
        <f t="shared" si="20"/>
        <v>2.8826938381576603</v>
      </c>
      <c r="K78" s="353">
        <f t="shared" si="20"/>
        <v>2.8826938381576603</v>
      </c>
      <c r="L78" s="353">
        <f t="shared" si="20"/>
        <v>2.8826938381576603</v>
      </c>
      <c r="M78" s="353">
        <f t="shared" si="20"/>
        <v>3.0628622030425143</v>
      </c>
      <c r="N78" s="353">
        <f t="shared" si="20"/>
        <v>2.8826938381576603</v>
      </c>
      <c r="O78" s="353">
        <f t="shared" si="20"/>
        <v>3.0628622030425143</v>
      </c>
      <c r="P78" s="353">
        <f t="shared" si="20"/>
        <v>3.6033672976970759</v>
      </c>
      <c r="Q78" s="353">
        <f t="shared" si="20"/>
        <v>3.6033672976970759</v>
      </c>
      <c r="R78" s="353">
        <f t="shared" si="20"/>
        <v>3.7835356625819294</v>
      </c>
      <c r="S78" s="353">
        <f>S18*$AF$78</f>
        <v>3.0937344212180924</v>
      </c>
      <c r="T78" s="353">
        <f t="shared" ref="T78:AD78" si="21">T18*$AF$78</f>
        <v>3.9374801724593871</v>
      </c>
      <c r="U78" s="353">
        <f t="shared" si="21"/>
        <v>4.4999773399535847</v>
      </c>
      <c r="V78" s="353">
        <f t="shared" si="21"/>
        <v>4.4999773399535847</v>
      </c>
      <c r="W78" s="353">
        <f t="shared" si="21"/>
        <v>4.4999773399535847</v>
      </c>
      <c r="X78" s="353">
        <f t="shared" si="21"/>
        <v>4.4999773399535847</v>
      </c>
      <c r="Y78" s="353">
        <f t="shared" si="21"/>
        <v>4.781225923700684</v>
      </c>
      <c r="Z78" s="353">
        <f t="shared" si="21"/>
        <v>4.4999773399535847</v>
      </c>
      <c r="AA78" s="353">
        <f t="shared" si="21"/>
        <v>4.781225923700684</v>
      </c>
      <c r="AB78" s="353">
        <f t="shared" si="21"/>
        <v>5.6249716749419818</v>
      </c>
      <c r="AC78" s="353">
        <f t="shared" si="21"/>
        <v>5.6249716749419818</v>
      </c>
      <c r="AD78" s="353">
        <f t="shared" si="21"/>
        <v>5.9062202586890802</v>
      </c>
      <c r="AE78" s="354">
        <f>AE70+AE77</f>
        <v>36.033672976970756</v>
      </c>
      <c r="AF78" s="354">
        <f t="shared" ref="AF78:AN78" si="22">AF70+AF77</f>
        <v>56.249716749419811</v>
      </c>
      <c r="AG78" s="354">
        <f t="shared" si="22"/>
        <v>84.117542034024353</v>
      </c>
      <c r="AH78" s="354">
        <f t="shared" si="22"/>
        <v>101.05545085990994</v>
      </c>
      <c r="AI78" s="354">
        <f t="shared" si="22"/>
        <v>118.81685102751808</v>
      </c>
      <c r="AJ78" s="354">
        <f t="shared" si="22"/>
        <v>128.44486171718461</v>
      </c>
      <c r="AK78" s="354">
        <f t="shared" si="22"/>
        <v>138.86743619344742</v>
      </c>
      <c r="AL78" s="354">
        <f t="shared" si="22"/>
        <v>150.15096433970808</v>
      </c>
      <c r="AM78" s="354">
        <f t="shared" si="22"/>
        <v>162.36742887789541</v>
      </c>
      <c r="AN78" s="354">
        <f t="shared" si="22"/>
        <v>175.59487903698869</v>
      </c>
    </row>
    <row r="79" spans="1:50" s="100" customFormat="1" x14ac:dyDescent="0.15">
      <c r="A79" s="202"/>
      <c r="B79" s="202"/>
      <c r="C79" s="202"/>
      <c r="D79" s="99"/>
      <c r="F79" s="230"/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249"/>
      <c r="R79" s="249"/>
      <c r="S79" s="249"/>
      <c r="T79" s="250"/>
      <c r="U79" s="250"/>
      <c r="V79" s="250"/>
      <c r="W79" s="250"/>
      <c r="X79" s="250"/>
      <c r="Y79" s="250"/>
      <c r="Z79" s="250"/>
      <c r="AA79" s="250"/>
      <c r="AB79" s="250"/>
      <c r="AC79" s="250"/>
      <c r="AD79" s="249"/>
      <c r="AE79" s="249"/>
      <c r="AF79" s="249"/>
      <c r="AG79" s="249"/>
      <c r="AH79" s="249"/>
      <c r="AI79" s="249"/>
      <c r="AJ79" s="249"/>
      <c r="AK79" s="249"/>
      <c r="AL79" s="249"/>
      <c r="AM79" s="249"/>
      <c r="AN79" s="249"/>
    </row>
    <row r="80" spans="1:50" x14ac:dyDescent="0.15">
      <c r="A80" s="39"/>
      <c r="B80" s="39"/>
      <c r="C80" s="202"/>
      <c r="D80" s="99" t="s">
        <v>182</v>
      </c>
      <c r="E80" s="242"/>
      <c r="F80" s="251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  <c r="R80" s="252"/>
      <c r="S80" s="252"/>
      <c r="T80" s="252"/>
      <c r="U80" s="252"/>
      <c r="V80" s="252"/>
      <c r="W80" s="252"/>
      <c r="X80" s="252"/>
      <c r="Y80" s="252"/>
      <c r="Z80" s="252"/>
      <c r="AA80" s="252"/>
      <c r="AB80" s="252"/>
      <c r="AC80" s="252"/>
      <c r="AD80" s="252"/>
      <c r="AE80" s="252"/>
      <c r="AF80" s="253"/>
      <c r="AG80" s="253"/>
      <c r="AH80" s="252"/>
      <c r="AI80" s="254" t="s">
        <v>183</v>
      </c>
      <c r="AJ80" s="253"/>
      <c r="AK80" s="253"/>
      <c r="AL80" s="253"/>
      <c r="AM80" s="253"/>
      <c r="AN80" s="253"/>
      <c r="AO80" s="100"/>
      <c r="AP80" s="255"/>
      <c r="AQ80" s="100"/>
      <c r="AR80" s="100"/>
    </row>
    <row r="81" spans="1:47" x14ac:dyDescent="0.15">
      <c r="A81" s="39"/>
      <c r="B81" s="39"/>
      <c r="C81" s="202" t="s">
        <v>186</v>
      </c>
      <c r="D81" s="255" t="s">
        <v>184</v>
      </c>
      <c r="E81" s="154" t="s">
        <v>104</v>
      </c>
      <c r="F81" s="238">
        <f>(AF30/AE30)^(1/2)-1</f>
        <v>0.24298028946560524</v>
      </c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42"/>
      <c r="AE81" s="142"/>
      <c r="AF81" s="142"/>
      <c r="AG81" s="142"/>
      <c r="AH81" s="100"/>
      <c r="AI81" s="99"/>
      <c r="AJ81" s="257"/>
      <c r="AK81" s="257"/>
      <c r="AL81" s="257"/>
      <c r="AM81" s="257"/>
      <c r="AN81" s="257"/>
      <c r="AO81" s="100"/>
      <c r="AQ81" s="100"/>
      <c r="AR81" s="100"/>
    </row>
    <row r="82" spans="1:47" x14ac:dyDescent="0.15">
      <c r="A82" s="39"/>
      <c r="B82" s="39"/>
      <c r="C82" s="202" t="s">
        <v>191</v>
      </c>
      <c r="D82" s="255" t="s">
        <v>185</v>
      </c>
      <c r="E82" s="242"/>
      <c r="F82" s="207"/>
      <c r="G82" s="258" t="e">
        <f t="shared" ref="G82:R82" si="23">$AE$82/$F$17</f>
        <v>#REF!</v>
      </c>
      <c r="H82" s="258" t="e">
        <f t="shared" si="23"/>
        <v>#REF!</v>
      </c>
      <c r="I82" s="258" t="e">
        <f t="shared" si="23"/>
        <v>#REF!</v>
      </c>
      <c r="J82" s="258" t="e">
        <f t="shared" si="23"/>
        <v>#REF!</v>
      </c>
      <c r="K82" s="258" t="e">
        <f t="shared" si="23"/>
        <v>#REF!</v>
      </c>
      <c r="L82" s="258" t="e">
        <f t="shared" si="23"/>
        <v>#REF!</v>
      </c>
      <c r="M82" s="258" t="e">
        <f t="shared" si="23"/>
        <v>#REF!</v>
      </c>
      <c r="N82" s="258" t="e">
        <f t="shared" si="23"/>
        <v>#REF!</v>
      </c>
      <c r="O82" s="258" t="e">
        <f t="shared" si="23"/>
        <v>#REF!</v>
      </c>
      <c r="P82" s="258" t="e">
        <f t="shared" si="23"/>
        <v>#REF!</v>
      </c>
      <c r="Q82" s="258" t="e">
        <f t="shared" si="23"/>
        <v>#REF!</v>
      </c>
      <c r="R82" s="258" t="e">
        <f t="shared" si="23"/>
        <v>#REF!</v>
      </c>
      <c r="S82" s="258" t="e">
        <f>$AF$82/12</f>
        <v>#REF!</v>
      </c>
      <c r="T82" s="258" t="e">
        <f t="shared" ref="T82:AD82" si="24">$AF$82/12</f>
        <v>#REF!</v>
      </c>
      <c r="U82" s="258" t="e">
        <f t="shared" si="24"/>
        <v>#REF!</v>
      </c>
      <c r="V82" s="258" t="e">
        <f t="shared" si="24"/>
        <v>#REF!</v>
      </c>
      <c r="W82" s="258" t="e">
        <f t="shared" si="24"/>
        <v>#REF!</v>
      </c>
      <c r="X82" s="258" t="e">
        <f t="shared" si="24"/>
        <v>#REF!</v>
      </c>
      <c r="Y82" s="258" t="e">
        <f t="shared" si="24"/>
        <v>#REF!</v>
      </c>
      <c r="Z82" s="258" t="e">
        <f t="shared" si="24"/>
        <v>#REF!</v>
      </c>
      <c r="AA82" s="258" t="e">
        <f t="shared" si="24"/>
        <v>#REF!</v>
      </c>
      <c r="AB82" s="258" t="e">
        <f t="shared" si="24"/>
        <v>#REF!</v>
      </c>
      <c r="AC82" s="258" t="e">
        <f t="shared" si="24"/>
        <v>#REF!</v>
      </c>
      <c r="AD82" s="258" t="e">
        <f t="shared" si="24"/>
        <v>#REF!</v>
      </c>
      <c r="AE82" s="355" t="e">
        <f>('[2]Investment - Store'!K88+SUM('[2]Investment - Store'!K89:'[2]Investment - Store'!K92))*$F$17/12</f>
        <v>#REF!</v>
      </c>
      <c r="AF82" s="355" t="e">
        <f>(AE82*(12/F17))*(1+$F$81)</f>
        <v>#REF!</v>
      </c>
      <c r="AG82" s="355" t="e">
        <f>AF82*(1+$F$81)</f>
        <v>#REF!</v>
      </c>
      <c r="AH82" s="355"/>
      <c r="AI82" s="355"/>
      <c r="AJ82" s="355"/>
      <c r="AK82" s="355"/>
      <c r="AL82" s="355"/>
      <c r="AM82" s="355"/>
      <c r="AN82" s="355"/>
      <c r="AO82" s="100"/>
      <c r="AQ82" s="100"/>
      <c r="AR82" s="100"/>
      <c r="AS82" s="18"/>
      <c r="AT82" s="261"/>
      <c r="AU82" s="18"/>
    </row>
    <row r="83" spans="1:47" x14ac:dyDescent="0.15">
      <c r="A83" s="39"/>
      <c r="B83" s="39"/>
      <c r="C83" s="202" t="s">
        <v>191</v>
      </c>
      <c r="D83" s="255" t="s">
        <v>299</v>
      </c>
      <c r="E83" s="242"/>
      <c r="F83" s="251"/>
      <c r="G83" s="258">
        <f t="shared" ref="G83:R83" si="25">$AE$83/$F$17</f>
        <v>2</v>
      </c>
      <c r="H83" s="258">
        <f t="shared" si="25"/>
        <v>2</v>
      </c>
      <c r="I83" s="258">
        <f t="shared" si="25"/>
        <v>2</v>
      </c>
      <c r="J83" s="258">
        <f t="shared" si="25"/>
        <v>2</v>
      </c>
      <c r="K83" s="258">
        <f t="shared" si="25"/>
        <v>2</v>
      </c>
      <c r="L83" s="258">
        <f t="shared" si="25"/>
        <v>2</v>
      </c>
      <c r="M83" s="258">
        <f t="shared" si="25"/>
        <v>2</v>
      </c>
      <c r="N83" s="258">
        <f t="shared" si="25"/>
        <v>2</v>
      </c>
      <c r="O83" s="258">
        <f t="shared" si="25"/>
        <v>2</v>
      </c>
      <c r="P83" s="258">
        <f t="shared" si="25"/>
        <v>2</v>
      </c>
      <c r="Q83" s="258">
        <f t="shared" si="25"/>
        <v>2</v>
      </c>
      <c r="R83" s="258">
        <f t="shared" si="25"/>
        <v>2</v>
      </c>
      <c r="S83" s="258">
        <f>$AF$83/12</f>
        <v>2.4859605789312105</v>
      </c>
      <c r="T83" s="258">
        <f t="shared" ref="T83:AD83" si="26">$AF$83/12</f>
        <v>2.4859605789312105</v>
      </c>
      <c r="U83" s="258">
        <f t="shared" si="26"/>
        <v>2.4859605789312105</v>
      </c>
      <c r="V83" s="258">
        <f t="shared" si="26"/>
        <v>2.4859605789312105</v>
      </c>
      <c r="W83" s="258">
        <f t="shared" si="26"/>
        <v>2.4859605789312105</v>
      </c>
      <c r="X83" s="258">
        <f t="shared" si="26"/>
        <v>2.4859605789312105</v>
      </c>
      <c r="Y83" s="258">
        <f t="shared" si="26"/>
        <v>2.4859605789312105</v>
      </c>
      <c r="Z83" s="258">
        <f t="shared" si="26"/>
        <v>2.4859605789312105</v>
      </c>
      <c r="AA83" s="258">
        <f t="shared" si="26"/>
        <v>2.4859605789312105</v>
      </c>
      <c r="AB83" s="258">
        <f t="shared" si="26"/>
        <v>2.4859605789312105</v>
      </c>
      <c r="AC83" s="258">
        <f t="shared" si="26"/>
        <v>2.4859605789312105</v>
      </c>
      <c r="AD83" s="258">
        <f t="shared" si="26"/>
        <v>2.4859605789312105</v>
      </c>
      <c r="AE83" s="355">
        <f>'[2]Investment - Store'!L87*12</f>
        <v>24</v>
      </c>
      <c r="AF83" s="355">
        <f>AE83*(1+$F$81)</f>
        <v>29.831526947174524</v>
      </c>
      <c r="AG83" s="355">
        <f>AF83*(1+$F$81)</f>
        <v>37.079999999999991</v>
      </c>
      <c r="AH83" s="355"/>
      <c r="AI83" s="355"/>
      <c r="AJ83" s="355"/>
      <c r="AK83" s="355"/>
      <c r="AL83" s="355"/>
      <c r="AM83" s="355"/>
      <c r="AN83" s="355"/>
      <c r="AO83" s="100"/>
      <c r="AQ83" s="100"/>
      <c r="AR83" s="100"/>
      <c r="AS83" s="100"/>
      <c r="AT83" s="255"/>
    </row>
    <row r="84" spans="1:47" x14ac:dyDescent="0.15">
      <c r="A84" s="39"/>
      <c r="B84" s="39"/>
      <c r="C84" s="202" t="s">
        <v>179</v>
      </c>
      <c r="D84" s="109" t="s">
        <v>187</v>
      </c>
      <c r="E84" s="100"/>
      <c r="F84" s="262">
        <v>3.3284987254051573E-2</v>
      </c>
      <c r="G84" s="263"/>
      <c r="H84" s="263"/>
      <c r="I84" s="263"/>
      <c r="J84" s="263"/>
      <c r="K84" s="263"/>
      <c r="L84" s="263"/>
      <c r="M84" s="263"/>
      <c r="N84" s="263"/>
      <c r="O84" s="263"/>
      <c r="P84" s="263"/>
      <c r="Q84" s="263"/>
      <c r="R84" s="263"/>
      <c r="S84" s="263"/>
      <c r="T84" s="264"/>
      <c r="U84" s="264"/>
      <c r="V84" s="264"/>
      <c r="W84" s="264"/>
      <c r="X84" s="264"/>
      <c r="Y84" s="264"/>
      <c r="Z84" s="264"/>
      <c r="AA84" s="264"/>
      <c r="AB84" s="264"/>
      <c r="AC84" s="264"/>
      <c r="AD84" s="263"/>
      <c r="AE84" s="356"/>
      <c r="AF84" s="356"/>
      <c r="AG84" s="356"/>
      <c r="AH84" s="357">
        <f>$F$84*AH30</f>
        <v>49.365299395744955</v>
      </c>
      <c r="AI84" s="357">
        <f t="shared" ref="AI84:AN84" si="27">$F$84*AI30</f>
        <v>58.287174237756439</v>
      </c>
      <c r="AJ84" s="357">
        <f t="shared" si="27"/>
        <v>63.270122580213304</v>
      </c>
      <c r="AK84" s="357">
        <f t="shared" si="27"/>
        <v>68.679061280039562</v>
      </c>
      <c r="AL84" s="357">
        <f t="shared" si="27"/>
        <v>74.550408090761877</v>
      </c>
      <c r="AM84" s="357">
        <f t="shared" si="27"/>
        <v>80.923694105795889</v>
      </c>
      <c r="AN84" s="357">
        <f t="shared" si="27"/>
        <v>87.841829916688539</v>
      </c>
      <c r="AO84" s="100"/>
      <c r="AP84" s="255"/>
      <c r="AQ84" s="100"/>
      <c r="AR84" s="100"/>
      <c r="AS84" s="100"/>
      <c r="AT84" s="255"/>
    </row>
    <row r="85" spans="1:47" x14ac:dyDescent="0.15">
      <c r="A85" s="39"/>
      <c r="B85" s="39"/>
      <c r="C85" s="202"/>
      <c r="D85" s="99" t="s">
        <v>188</v>
      </c>
      <c r="E85" s="242"/>
      <c r="F85" s="266"/>
      <c r="G85" s="249" t="e">
        <f t="shared" ref="G85:L85" si="28">SUM(G82:G84)</f>
        <v>#REF!</v>
      </c>
      <c r="H85" s="249" t="e">
        <f t="shared" si="28"/>
        <v>#REF!</v>
      </c>
      <c r="I85" s="249" t="e">
        <f t="shared" si="28"/>
        <v>#REF!</v>
      </c>
      <c r="J85" s="249" t="e">
        <f t="shared" si="28"/>
        <v>#REF!</v>
      </c>
      <c r="K85" s="249" t="e">
        <f t="shared" si="28"/>
        <v>#REF!</v>
      </c>
      <c r="L85" s="249" t="e">
        <f t="shared" si="28"/>
        <v>#REF!</v>
      </c>
      <c r="M85" s="249" t="e">
        <f t="shared" ref="M85:AN85" si="29">SUM(M82:M84)</f>
        <v>#REF!</v>
      </c>
      <c r="N85" s="249" t="e">
        <f t="shared" si="29"/>
        <v>#REF!</v>
      </c>
      <c r="O85" s="249" t="e">
        <f t="shared" si="29"/>
        <v>#REF!</v>
      </c>
      <c r="P85" s="249" t="e">
        <f t="shared" si="29"/>
        <v>#REF!</v>
      </c>
      <c r="Q85" s="249" t="e">
        <f t="shared" si="29"/>
        <v>#REF!</v>
      </c>
      <c r="R85" s="249" t="e">
        <f t="shared" si="29"/>
        <v>#REF!</v>
      </c>
      <c r="S85" s="249" t="e">
        <f t="shared" si="29"/>
        <v>#REF!</v>
      </c>
      <c r="T85" s="249" t="e">
        <f t="shared" si="29"/>
        <v>#REF!</v>
      </c>
      <c r="U85" s="249" t="e">
        <f t="shared" si="29"/>
        <v>#REF!</v>
      </c>
      <c r="V85" s="249" t="e">
        <f t="shared" si="29"/>
        <v>#REF!</v>
      </c>
      <c r="W85" s="249" t="e">
        <f t="shared" si="29"/>
        <v>#REF!</v>
      </c>
      <c r="X85" s="249" t="e">
        <f t="shared" si="29"/>
        <v>#REF!</v>
      </c>
      <c r="Y85" s="249" t="e">
        <f t="shared" si="29"/>
        <v>#REF!</v>
      </c>
      <c r="Z85" s="249" t="e">
        <f t="shared" si="29"/>
        <v>#REF!</v>
      </c>
      <c r="AA85" s="249" t="e">
        <f t="shared" si="29"/>
        <v>#REF!</v>
      </c>
      <c r="AB85" s="249" t="e">
        <f t="shared" si="29"/>
        <v>#REF!</v>
      </c>
      <c r="AC85" s="249" t="e">
        <f t="shared" si="29"/>
        <v>#REF!</v>
      </c>
      <c r="AD85" s="249" t="e">
        <f t="shared" si="29"/>
        <v>#REF!</v>
      </c>
      <c r="AE85" s="358" t="e">
        <f t="shared" si="29"/>
        <v>#REF!</v>
      </c>
      <c r="AF85" s="358" t="e">
        <f t="shared" si="29"/>
        <v>#REF!</v>
      </c>
      <c r="AG85" s="358" t="e">
        <f t="shared" si="29"/>
        <v>#REF!</v>
      </c>
      <c r="AH85" s="358">
        <f t="shared" si="29"/>
        <v>49.365299395744955</v>
      </c>
      <c r="AI85" s="358">
        <f t="shared" si="29"/>
        <v>58.287174237756439</v>
      </c>
      <c r="AJ85" s="358">
        <f t="shared" si="29"/>
        <v>63.270122580213304</v>
      </c>
      <c r="AK85" s="358">
        <f t="shared" si="29"/>
        <v>68.679061280039562</v>
      </c>
      <c r="AL85" s="358">
        <f t="shared" si="29"/>
        <v>74.550408090761877</v>
      </c>
      <c r="AM85" s="358">
        <f t="shared" si="29"/>
        <v>80.923694105795889</v>
      </c>
      <c r="AN85" s="358">
        <f t="shared" si="29"/>
        <v>87.841829916688539</v>
      </c>
      <c r="AO85" s="100"/>
      <c r="AP85" s="255"/>
      <c r="AQ85" s="100"/>
      <c r="AR85" s="100"/>
      <c r="AS85" s="100"/>
      <c r="AT85" s="255"/>
    </row>
    <row r="86" spans="1:47" s="100" customFormat="1" x14ac:dyDescent="0.15">
      <c r="A86" s="202"/>
      <c r="B86" s="202"/>
      <c r="C86" s="202"/>
      <c r="D86" s="99"/>
      <c r="F86" s="230"/>
      <c r="G86" s="249"/>
      <c r="H86" s="249"/>
      <c r="I86" s="249"/>
      <c r="J86" s="249"/>
      <c r="K86" s="249"/>
      <c r="L86" s="249"/>
      <c r="M86" s="249"/>
      <c r="N86" s="249"/>
      <c r="O86" s="249"/>
      <c r="P86" s="249"/>
      <c r="Q86" s="249"/>
      <c r="R86" s="249"/>
      <c r="S86" s="249"/>
      <c r="T86" s="250"/>
      <c r="U86" s="250"/>
      <c r="V86" s="250"/>
      <c r="W86" s="250"/>
      <c r="X86" s="250"/>
      <c r="Y86" s="250"/>
      <c r="Z86" s="250"/>
      <c r="AA86" s="250"/>
      <c r="AB86" s="250"/>
      <c r="AC86" s="250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</row>
    <row r="87" spans="1:47" x14ac:dyDescent="0.15">
      <c r="C87" s="202"/>
      <c r="D87" s="100"/>
      <c r="E87" s="100"/>
      <c r="F87" s="272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231"/>
      <c r="U87" s="231"/>
      <c r="V87" s="231"/>
      <c r="W87" s="231"/>
      <c r="X87" s="231"/>
      <c r="Y87" s="231"/>
      <c r="Z87" s="231"/>
      <c r="AA87" s="231"/>
      <c r="AB87" s="231"/>
      <c r="AC87" s="231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</row>
    <row r="88" spans="1:47" ht="18" x14ac:dyDescent="0.2">
      <c r="C88" s="202"/>
      <c r="D88" s="273" t="s">
        <v>194</v>
      </c>
      <c r="E88" s="274"/>
      <c r="F88" s="274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231"/>
      <c r="U88" s="231"/>
      <c r="V88" s="231"/>
      <c r="W88" s="231"/>
      <c r="X88" s="231"/>
      <c r="Y88" s="231"/>
      <c r="Z88" s="231"/>
      <c r="AA88" s="231"/>
      <c r="AB88" s="231"/>
      <c r="AC88" s="231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</row>
    <row r="89" spans="1:47" x14ac:dyDescent="0.15">
      <c r="C89" s="202"/>
      <c r="D89" s="275" t="s">
        <v>1</v>
      </c>
      <c r="E89" s="202"/>
      <c r="F89" s="202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231"/>
      <c r="U89" s="231"/>
      <c r="V89" s="231"/>
      <c r="W89" s="231"/>
      <c r="X89" s="231"/>
      <c r="Y89" s="231"/>
      <c r="Z89" s="231"/>
      <c r="AA89" s="231"/>
      <c r="AB89" s="231"/>
      <c r="AC89" s="231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</row>
    <row r="90" spans="1:47" x14ac:dyDescent="0.15">
      <c r="C90" s="202"/>
      <c r="D90" s="99"/>
      <c r="E90" s="276"/>
      <c r="F90" s="277" t="s">
        <v>69</v>
      </c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231"/>
      <c r="U90" s="231"/>
      <c r="V90" s="231"/>
      <c r="W90" s="231"/>
      <c r="X90" s="231"/>
      <c r="Y90" s="231"/>
      <c r="Z90" s="231"/>
      <c r="AA90" s="231"/>
      <c r="AB90" s="231"/>
      <c r="AC90" s="231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</row>
    <row r="91" spans="1:47" ht="11.25" customHeight="1" x14ac:dyDescent="0.15">
      <c r="C91" s="202"/>
      <c r="D91" s="99" t="s">
        <v>195</v>
      </c>
      <c r="E91" s="278"/>
      <c r="F91" s="279" t="s">
        <v>196</v>
      </c>
      <c r="G91" s="102">
        <v>1</v>
      </c>
      <c r="H91" s="102">
        <f>G91+1</f>
        <v>2</v>
      </c>
      <c r="I91" s="102">
        <f t="shared" ref="I91:AD91" si="30">H91+1</f>
        <v>3</v>
      </c>
      <c r="J91" s="102">
        <f t="shared" si="30"/>
        <v>4</v>
      </c>
      <c r="K91" s="102">
        <f t="shared" si="30"/>
        <v>5</v>
      </c>
      <c r="L91" s="102">
        <f t="shared" si="30"/>
        <v>6</v>
      </c>
      <c r="M91" s="102">
        <f t="shared" si="30"/>
        <v>7</v>
      </c>
      <c r="N91" s="102">
        <f t="shared" si="30"/>
        <v>8</v>
      </c>
      <c r="O91" s="102">
        <f t="shared" si="30"/>
        <v>9</v>
      </c>
      <c r="P91" s="102">
        <f t="shared" si="30"/>
        <v>10</v>
      </c>
      <c r="Q91" s="102">
        <f t="shared" si="30"/>
        <v>11</v>
      </c>
      <c r="R91" s="102">
        <f t="shared" si="30"/>
        <v>12</v>
      </c>
      <c r="S91" s="102">
        <f t="shared" si="30"/>
        <v>13</v>
      </c>
      <c r="T91" s="102">
        <f t="shared" si="30"/>
        <v>14</v>
      </c>
      <c r="U91" s="102">
        <f t="shared" si="30"/>
        <v>15</v>
      </c>
      <c r="V91" s="102">
        <f t="shared" si="30"/>
        <v>16</v>
      </c>
      <c r="W91" s="102">
        <f t="shared" si="30"/>
        <v>17</v>
      </c>
      <c r="X91" s="102">
        <f t="shared" si="30"/>
        <v>18</v>
      </c>
      <c r="Y91" s="102">
        <f t="shared" si="30"/>
        <v>19</v>
      </c>
      <c r="Z91" s="102">
        <f t="shared" si="30"/>
        <v>20</v>
      </c>
      <c r="AA91" s="102">
        <f t="shared" si="30"/>
        <v>21</v>
      </c>
      <c r="AB91" s="102">
        <f t="shared" si="30"/>
        <v>22</v>
      </c>
      <c r="AC91" s="102">
        <f t="shared" si="30"/>
        <v>23</v>
      </c>
      <c r="AD91" s="102">
        <f t="shared" si="30"/>
        <v>24</v>
      </c>
      <c r="AE91" s="103">
        <v>1</v>
      </c>
      <c r="AF91" s="103">
        <f>AE91+1</f>
        <v>2</v>
      </c>
      <c r="AG91" s="103">
        <f t="shared" ref="AG91:AN91" si="31">AF91+1</f>
        <v>3</v>
      </c>
      <c r="AH91" s="103">
        <f t="shared" si="31"/>
        <v>4</v>
      </c>
      <c r="AI91" s="103">
        <f t="shared" si="31"/>
        <v>5</v>
      </c>
      <c r="AJ91" s="103">
        <f t="shared" si="31"/>
        <v>6</v>
      </c>
      <c r="AK91" s="103">
        <f t="shared" si="31"/>
        <v>7</v>
      </c>
      <c r="AL91" s="103">
        <f t="shared" si="31"/>
        <v>8</v>
      </c>
      <c r="AM91" s="103">
        <f t="shared" si="31"/>
        <v>9</v>
      </c>
      <c r="AN91" s="103">
        <f t="shared" si="31"/>
        <v>10</v>
      </c>
      <c r="AO91" s="100"/>
      <c r="AP91" s="100"/>
      <c r="AQ91" s="100"/>
      <c r="AR91" s="100"/>
      <c r="AS91" s="100"/>
    </row>
    <row r="92" spans="1:47" ht="11.25" customHeight="1" x14ac:dyDescent="0.15">
      <c r="C92" s="202"/>
      <c r="D92" s="100"/>
      <c r="E92" s="95"/>
      <c r="F92" s="136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231"/>
      <c r="U92" s="231"/>
      <c r="V92" s="231"/>
      <c r="W92" s="231"/>
      <c r="X92" s="231"/>
      <c r="Y92" s="231"/>
      <c r="Z92" s="231"/>
      <c r="AA92" s="231"/>
      <c r="AB92" s="231"/>
      <c r="AC92" s="231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</row>
    <row r="93" spans="1:47" ht="11.25" customHeight="1" x14ac:dyDescent="0.15">
      <c r="C93" s="202"/>
      <c r="D93" s="100" t="s">
        <v>197</v>
      </c>
      <c r="E93" s="95"/>
      <c r="F93" s="280"/>
      <c r="G93" s="136">
        <v>29.131344000000027</v>
      </c>
      <c r="H93" s="136">
        <v>37.076256000000001</v>
      </c>
      <c r="I93" s="136">
        <v>42.372864</v>
      </c>
      <c r="J93" s="136">
        <v>42.372864</v>
      </c>
      <c r="K93" s="136">
        <v>42.372864</v>
      </c>
      <c r="L93" s="136">
        <v>42.372864</v>
      </c>
      <c r="M93" s="136">
        <v>45.021168000000003</v>
      </c>
      <c r="N93" s="136">
        <v>42.372864</v>
      </c>
      <c r="O93" s="136">
        <v>45.021168000000003</v>
      </c>
      <c r="P93" s="136">
        <v>52.966080000000005</v>
      </c>
      <c r="Q93" s="136">
        <v>52.966080000000005</v>
      </c>
      <c r="R93" s="136">
        <v>55.614383999999994</v>
      </c>
      <c r="S93" s="136">
        <v>45.00792648000003</v>
      </c>
      <c r="T93" s="136">
        <v>57.282815519999993</v>
      </c>
      <c r="U93" s="136">
        <v>65.466074879999994</v>
      </c>
      <c r="V93" s="136">
        <v>65.466074879999994</v>
      </c>
      <c r="W93" s="136">
        <v>65.466074879999994</v>
      </c>
      <c r="X93" s="136">
        <v>65.466074879999994</v>
      </c>
      <c r="Y93" s="136">
        <v>69.557704559999991</v>
      </c>
      <c r="Z93" s="136">
        <v>65.466074879999994</v>
      </c>
      <c r="AA93" s="136">
        <v>69.557704559999991</v>
      </c>
      <c r="AB93" s="136">
        <v>81.832593599999996</v>
      </c>
      <c r="AC93" s="136">
        <v>81.832593599999996</v>
      </c>
      <c r="AD93" s="136">
        <v>85.924223279999978</v>
      </c>
      <c r="AE93" s="136">
        <v>529.66079999999999</v>
      </c>
      <c r="AF93" s="136">
        <v>818.32593599999984</v>
      </c>
      <c r="AG93" s="136">
        <v>1229.1937497000001</v>
      </c>
      <c r="AH93" s="136">
        <v>1483.1100585665997</v>
      </c>
      <c r="AI93" s="136">
        <v>1751.1550715904662</v>
      </c>
      <c r="AJ93" s="136">
        <v>1900.8606522002447</v>
      </c>
      <c r="AK93" s="136">
        <v>2063.3645059208993</v>
      </c>
      <c r="AL93" s="136">
        <v>2239.7607522498697</v>
      </c>
      <c r="AM93" s="136">
        <v>2431.2370465440258</v>
      </c>
      <c r="AN93" s="136">
        <v>2639.0825763646972</v>
      </c>
      <c r="AO93" s="100"/>
      <c r="AP93" s="100"/>
      <c r="AQ93" s="100"/>
      <c r="AR93" s="100"/>
      <c r="AS93" s="100"/>
    </row>
    <row r="94" spans="1:47" ht="11.25" customHeight="1" x14ac:dyDescent="0.15">
      <c r="C94" s="202"/>
      <c r="D94" s="100"/>
      <c r="E94" s="95"/>
      <c r="F94" s="28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231"/>
      <c r="U94" s="231"/>
      <c r="V94" s="231"/>
      <c r="W94" s="231"/>
      <c r="X94" s="231"/>
      <c r="Y94" s="231"/>
      <c r="Z94" s="231"/>
      <c r="AA94" s="231"/>
      <c r="AB94" s="231"/>
      <c r="AC94" s="231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</row>
    <row r="95" spans="1:47" s="160" customFormat="1" ht="11.25" customHeight="1" x14ac:dyDescent="0.15">
      <c r="A95" s="56"/>
      <c r="B95" s="56"/>
      <c r="C95" s="359"/>
      <c r="D95" s="100" t="s">
        <v>198</v>
      </c>
      <c r="E95" s="95"/>
      <c r="F95" s="280"/>
      <c r="G95" s="136">
        <v>4.0053882862411365</v>
      </c>
      <c r="H95" s="136">
        <v>5.0977669097614413</v>
      </c>
      <c r="I95" s="136">
        <v>5.8260193254416475</v>
      </c>
      <c r="J95" s="136">
        <v>5.8260193254416475</v>
      </c>
      <c r="K95" s="136">
        <v>5.8260193254416475</v>
      </c>
      <c r="L95" s="136">
        <v>5.8260193254416475</v>
      </c>
      <c r="M95" s="136">
        <v>6.1901455332817514</v>
      </c>
      <c r="N95" s="136">
        <v>5.8260193254416475</v>
      </c>
      <c r="O95" s="136">
        <v>6.1901455332817514</v>
      </c>
      <c r="P95" s="136">
        <v>7.2825241568020598</v>
      </c>
      <c r="Q95" s="136">
        <v>7.2825241568020598</v>
      </c>
      <c r="R95" s="136">
        <v>7.6466503646421611</v>
      </c>
      <c r="S95" s="136">
        <v>6.1883249022425542</v>
      </c>
      <c r="T95" s="136">
        <v>7.8760498755814261</v>
      </c>
      <c r="U95" s="136">
        <v>9.0011998578073449</v>
      </c>
      <c r="V95" s="136">
        <v>9.0011998578073449</v>
      </c>
      <c r="W95" s="136">
        <v>9.0011998578073449</v>
      </c>
      <c r="X95" s="136">
        <v>9.0011998578073449</v>
      </c>
      <c r="Y95" s="136">
        <v>9.5637748489203034</v>
      </c>
      <c r="Z95" s="136">
        <v>9.0011998578073449</v>
      </c>
      <c r="AA95" s="136">
        <v>9.5637748489203034</v>
      </c>
      <c r="AB95" s="136">
        <v>11.251499822259181</v>
      </c>
      <c r="AC95" s="136">
        <v>11.251499822259181</v>
      </c>
      <c r="AD95" s="136">
        <v>11.814074813372139</v>
      </c>
      <c r="AE95" s="136">
        <v>6.0687701306683826</v>
      </c>
      <c r="AF95" s="136">
        <v>9.3762498518826494</v>
      </c>
      <c r="AG95" s="136">
        <v>14.083908631682069</v>
      </c>
      <c r="AH95" s="136">
        <v>16.993241757598103</v>
      </c>
      <c r="AI95" s="136">
        <v>20.064459353300592</v>
      </c>
      <c r="AJ95" s="136">
        <v>21.779762347214795</v>
      </c>
      <c r="AK95" s="136">
        <v>23.641705941262934</v>
      </c>
      <c r="AL95" s="136">
        <v>25.6628263845415</v>
      </c>
      <c r="AM95" s="136">
        <v>27.856731645311115</v>
      </c>
      <c r="AN95" s="136">
        <v>30.238193031860082</v>
      </c>
      <c r="AO95" s="272"/>
      <c r="AP95" s="272"/>
      <c r="AQ95" s="272"/>
      <c r="AR95" s="272"/>
      <c r="AS95" s="272"/>
    </row>
    <row r="96" spans="1:47" s="160" customFormat="1" ht="11.25" customHeight="1" x14ac:dyDescent="0.15">
      <c r="A96" s="56"/>
      <c r="B96" s="56"/>
      <c r="C96" s="359"/>
      <c r="D96" s="100" t="s">
        <v>199</v>
      </c>
      <c r="E96" s="100"/>
      <c r="F96" s="281"/>
      <c r="G96" s="282">
        <v>4.1821125854395111</v>
      </c>
      <c r="H96" s="282">
        <v>4.1821125854395111</v>
      </c>
      <c r="I96" s="282">
        <v>4.1821125854395111</v>
      </c>
      <c r="J96" s="282">
        <v>4.1821125854395111</v>
      </c>
      <c r="K96" s="282">
        <v>4.1821125854395111</v>
      </c>
      <c r="L96" s="282">
        <v>4.1821125854395111</v>
      </c>
      <c r="M96" s="282">
        <v>4.1821125854395111</v>
      </c>
      <c r="N96" s="282">
        <v>4.1821125854395111</v>
      </c>
      <c r="O96" s="282">
        <v>4.1821125854395111</v>
      </c>
      <c r="P96" s="282">
        <v>4.1821125854395111</v>
      </c>
      <c r="Q96" s="282">
        <v>4.1821125854395111</v>
      </c>
      <c r="R96" s="282">
        <v>4.1821125854395111</v>
      </c>
      <c r="S96" s="282">
        <v>4.1821125854395111</v>
      </c>
      <c r="T96" s="282">
        <v>4.1821125854395111</v>
      </c>
      <c r="U96" s="282">
        <v>4.1821125854395111</v>
      </c>
      <c r="V96" s="282">
        <v>4.1821125854395111</v>
      </c>
      <c r="W96" s="282">
        <v>4.1821125854395111</v>
      </c>
      <c r="X96" s="282">
        <v>4.1821125854395111</v>
      </c>
      <c r="Y96" s="282">
        <v>4.1821125854395111</v>
      </c>
      <c r="Z96" s="282">
        <v>4.1821125854395111</v>
      </c>
      <c r="AA96" s="282">
        <v>4.1821125854395111</v>
      </c>
      <c r="AB96" s="282">
        <v>4.1821125854395111</v>
      </c>
      <c r="AC96" s="282">
        <v>4.1821125854395111</v>
      </c>
      <c r="AD96" s="282">
        <v>4.1821125854395111</v>
      </c>
      <c r="AE96" s="283">
        <v>4.1821125854395111</v>
      </c>
      <c r="AF96" s="282">
        <v>4.1821125854395111</v>
      </c>
      <c r="AG96" s="282">
        <v>4.1821125854395111</v>
      </c>
      <c r="AH96" s="282">
        <v>4.1821125854395111</v>
      </c>
      <c r="AI96" s="282">
        <v>4.1821125854395111</v>
      </c>
      <c r="AJ96" s="282">
        <v>4.1821125854395111</v>
      </c>
      <c r="AK96" s="282">
        <v>4.1821125854395111</v>
      </c>
      <c r="AL96" s="282">
        <v>4.1821125854395111</v>
      </c>
      <c r="AM96" s="282">
        <v>4.1821125854395111</v>
      </c>
      <c r="AN96" s="282">
        <v>4.1821125854395111</v>
      </c>
      <c r="AO96" s="272"/>
      <c r="AP96" s="272"/>
      <c r="AQ96" s="272"/>
      <c r="AR96" s="272"/>
      <c r="AS96" s="272"/>
    </row>
    <row r="97" spans="1:45" s="160" customFormat="1" ht="11.25" customHeight="1" x14ac:dyDescent="0.15">
      <c r="A97" s="56"/>
      <c r="B97" s="56"/>
      <c r="C97" s="359"/>
      <c r="D97" s="100" t="s">
        <v>200</v>
      </c>
      <c r="E97" s="100"/>
      <c r="F97" s="281"/>
      <c r="G97" s="284">
        <v>0.13749411239801132</v>
      </c>
      <c r="H97" s="284">
        <v>0.13749411239801132</v>
      </c>
      <c r="I97" s="284">
        <v>0.13749411239801132</v>
      </c>
      <c r="J97" s="284">
        <v>0.13749411239801132</v>
      </c>
      <c r="K97" s="284">
        <v>0.13749411239801132</v>
      </c>
      <c r="L97" s="284">
        <v>0.13749411239801132</v>
      </c>
      <c r="M97" s="284">
        <v>0.13749411239801132</v>
      </c>
      <c r="N97" s="284">
        <v>0.13749411239801132</v>
      </c>
      <c r="O97" s="284">
        <v>0.13749411239801132</v>
      </c>
      <c r="P97" s="284">
        <v>0.13749411239801132</v>
      </c>
      <c r="Q97" s="284">
        <v>0.13749411239801132</v>
      </c>
      <c r="R97" s="284">
        <v>0.13749411239801132</v>
      </c>
      <c r="S97" s="284">
        <v>0.13749411239801132</v>
      </c>
      <c r="T97" s="284">
        <v>0.13749411239801132</v>
      </c>
      <c r="U97" s="284">
        <v>0.13749411239801132</v>
      </c>
      <c r="V97" s="284">
        <v>0.13749411239801132</v>
      </c>
      <c r="W97" s="284">
        <v>0.13749411239801132</v>
      </c>
      <c r="X97" s="284">
        <v>0.13749411239801132</v>
      </c>
      <c r="Y97" s="284">
        <v>0.13749411239801132</v>
      </c>
      <c r="Z97" s="284">
        <v>0.13749411239801132</v>
      </c>
      <c r="AA97" s="284">
        <v>0.13749411239801132</v>
      </c>
      <c r="AB97" s="284">
        <v>0.13749411239801132</v>
      </c>
      <c r="AC97" s="284">
        <v>0.13749411239801132</v>
      </c>
      <c r="AD97" s="284">
        <v>0.13749411239801135</v>
      </c>
      <c r="AE97" s="284">
        <v>1.1457842699834277E-2</v>
      </c>
      <c r="AF97" s="284">
        <v>1.1457842699834277E-2</v>
      </c>
      <c r="AG97" s="284">
        <v>1.1457842699834278E-2</v>
      </c>
      <c r="AH97" s="284">
        <v>1.1457842699834278E-2</v>
      </c>
      <c r="AI97" s="284">
        <v>1.1457842699834277E-2</v>
      </c>
      <c r="AJ97" s="284">
        <v>1.1457842699834277E-2</v>
      </c>
      <c r="AK97" s="284">
        <v>1.1457842699834277E-2</v>
      </c>
      <c r="AL97" s="284">
        <v>1.1457842699834278E-2</v>
      </c>
      <c r="AM97" s="284">
        <v>1.1457842699834277E-2</v>
      </c>
      <c r="AN97" s="284">
        <v>1.1457842699834277E-2</v>
      </c>
      <c r="AO97" s="272"/>
      <c r="AP97" s="272"/>
      <c r="AQ97" s="272"/>
      <c r="AR97" s="272"/>
      <c r="AS97" s="272"/>
    </row>
    <row r="98" spans="1:45" s="160" customFormat="1" ht="11.25" customHeight="1" x14ac:dyDescent="0.15">
      <c r="A98" s="56"/>
      <c r="B98" s="56"/>
      <c r="C98" s="359"/>
      <c r="D98" s="272"/>
      <c r="E98" s="272"/>
      <c r="F98" s="272"/>
      <c r="G98" s="272"/>
      <c r="H98" s="272"/>
      <c r="I98" s="272"/>
      <c r="J98" s="272"/>
      <c r="K98" s="272"/>
      <c r="L98" s="272"/>
      <c r="M98" s="272"/>
      <c r="N98" s="272"/>
      <c r="O98" s="272"/>
      <c r="P98" s="272"/>
      <c r="Q98" s="272"/>
      <c r="R98" s="272"/>
      <c r="S98" s="272"/>
      <c r="T98" s="285"/>
      <c r="U98" s="285"/>
      <c r="V98" s="285"/>
      <c r="W98" s="285"/>
      <c r="X98" s="285"/>
      <c r="Y98" s="285"/>
      <c r="Z98" s="285"/>
      <c r="AA98" s="285"/>
      <c r="AB98" s="285"/>
      <c r="AC98" s="285"/>
      <c r="AD98" s="272"/>
      <c r="AE98" s="272"/>
      <c r="AF98" s="272"/>
      <c r="AG98" s="272"/>
      <c r="AH98" s="272"/>
      <c r="AI98" s="272"/>
      <c r="AJ98" s="272"/>
      <c r="AK98" s="272"/>
      <c r="AL98" s="272"/>
      <c r="AM98" s="272"/>
      <c r="AN98" s="272"/>
      <c r="AO98" s="272"/>
      <c r="AP98" s="272"/>
      <c r="AQ98" s="272"/>
      <c r="AR98" s="272"/>
      <c r="AS98" s="272"/>
    </row>
    <row r="99" spans="1:45" s="160" customFormat="1" ht="11.25" customHeight="1" x14ac:dyDescent="0.15">
      <c r="A99" s="56"/>
      <c r="B99" s="56"/>
      <c r="C99" s="359"/>
      <c r="D99" s="272" t="s">
        <v>201</v>
      </c>
      <c r="E99" s="286"/>
      <c r="F99" s="286"/>
      <c r="G99" s="136">
        <v>22.369660950439105</v>
      </c>
      <c r="H99" s="136">
        <v>27.025948118740661</v>
      </c>
      <c r="I99" s="136">
        <v>30.130139564275041</v>
      </c>
      <c r="J99" s="136">
        <v>30.130139564275041</v>
      </c>
      <c r="K99" s="136">
        <v>30.130139564275041</v>
      </c>
      <c r="L99" s="136">
        <v>30.130139564275041</v>
      </c>
      <c r="M99" s="136">
        <v>31.682235287042232</v>
      </c>
      <c r="N99" s="136">
        <v>30.130139564275041</v>
      </c>
      <c r="O99" s="136">
        <v>31.682235287042232</v>
      </c>
      <c r="P99" s="136">
        <v>36.338522455343806</v>
      </c>
      <c r="Q99" s="136">
        <v>36.338522455343806</v>
      </c>
      <c r="R99" s="136">
        <v>37.890618178110991</v>
      </c>
      <c r="S99" s="136">
        <v>34.454119134178654</v>
      </c>
      <c r="T99" s="136">
        <v>41.618899072590985</v>
      </c>
      <c r="U99" s="136">
        <v>46.395419031532555</v>
      </c>
      <c r="V99" s="136">
        <v>46.395419031532555</v>
      </c>
      <c r="W99" s="136">
        <v>46.395419031532555</v>
      </c>
      <c r="X99" s="136">
        <v>46.395419031532555</v>
      </c>
      <c r="Y99" s="136">
        <v>48.783679011003343</v>
      </c>
      <c r="Z99" s="136">
        <v>46.395419031532555</v>
      </c>
      <c r="AA99" s="136">
        <v>48.783679011003343</v>
      </c>
      <c r="AB99" s="136">
        <v>55.948458949415702</v>
      </c>
      <c r="AC99" s="136">
        <v>55.948458949415702</v>
      </c>
      <c r="AD99" s="136">
        <v>58.336718928886476</v>
      </c>
      <c r="AE99" s="136">
        <v>447.29457120000001</v>
      </c>
      <c r="AF99" s="136">
        <v>688.6854725039999</v>
      </c>
      <c r="AG99" s="136">
        <v>1000.2555264145501</v>
      </c>
      <c r="AH99" s="136">
        <v>1196.9019794424696</v>
      </c>
      <c r="AI99" s="136">
        <v>1395.2172376782921</v>
      </c>
      <c r="AJ99" s="136">
        <v>1510.2142591595521</v>
      </c>
      <c r="AK99" s="136">
        <v>1634.8117772271289</v>
      </c>
      <c r="AL99" s="136">
        <v>1769.8181138939995</v>
      </c>
      <c r="AM99" s="136">
        <v>1916.1100251641906</v>
      </c>
      <c r="AN99" s="136">
        <v>2074.6385153792253</v>
      </c>
      <c r="AO99" s="272"/>
      <c r="AP99" s="272"/>
      <c r="AQ99" s="272"/>
      <c r="AR99" s="272"/>
      <c r="AS99" s="272"/>
    </row>
    <row r="100" spans="1:45" s="160" customFormat="1" ht="11.25" customHeight="1" x14ac:dyDescent="0.15">
      <c r="A100" s="56"/>
      <c r="B100" s="56"/>
      <c r="C100" s="359"/>
      <c r="D100" s="272"/>
      <c r="E100" s="287"/>
      <c r="F100" s="136"/>
      <c r="G100" s="272"/>
      <c r="H100" s="272"/>
      <c r="I100" s="272"/>
      <c r="J100" s="272"/>
      <c r="K100" s="272"/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  <c r="AM100" s="272"/>
      <c r="AN100" s="272"/>
      <c r="AO100" s="272"/>
      <c r="AP100" s="272"/>
      <c r="AQ100" s="272"/>
      <c r="AR100" s="272"/>
      <c r="AS100" s="272"/>
    </row>
    <row r="101" spans="1:45" s="160" customFormat="1" ht="11.25" customHeight="1" x14ac:dyDescent="0.15">
      <c r="A101" s="56"/>
      <c r="B101" s="56"/>
      <c r="C101" s="359"/>
      <c r="D101" s="272" t="s">
        <v>202</v>
      </c>
      <c r="E101" s="286"/>
      <c r="F101" s="136"/>
      <c r="G101" s="136">
        <v>2.4019396867076388</v>
      </c>
      <c r="H101" s="136">
        <v>2.9019079681684046</v>
      </c>
      <c r="I101" s="136">
        <v>3.235220155808916</v>
      </c>
      <c r="J101" s="136">
        <v>3.235220155808916</v>
      </c>
      <c r="K101" s="136">
        <v>3.235220155808916</v>
      </c>
      <c r="L101" s="136">
        <v>3.235220155808916</v>
      </c>
      <c r="M101" s="136">
        <v>3.4018762496291721</v>
      </c>
      <c r="N101" s="136">
        <v>3.235220155808916</v>
      </c>
      <c r="O101" s="136">
        <v>3.4018762496291721</v>
      </c>
      <c r="P101" s="136">
        <v>3.9018445310899397</v>
      </c>
      <c r="Q101" s="136">
        <v>3.9018445310899397</v>
      </c>
      <c r="R101" s="136">
        <v>4.0685006249101949</v>
      </c>
      <c r="S101" s="136">
        <v>3.699506948374748</v>
      </c>
      <c r="T101" s="136">
        <v>4.4688243429802075</v>
      </c>
      <c r="U101" s="136">
        <v>4.981702606050515</v>
      </c>
      <c r="V101" s="136">
        <v>4.981702606050515</v>
      </c>
      <c r="W101" s="136">
        <v>4.981702606050515</v>
      </c>
      <c r="X101" s="136">
        <v>4.981702606050515</v>
      </c>
      <c r="Y101" s="136">
        <v>5.2381417375856696</v>
      </c>
      <c r="Z101" s="136">
        <v>4.981702606050515</v>
      </c>
      <c r="AA101" s="136">
        <v>5.2381417375856696</v>
      </c>
      <c r="AB101" s="136">
        <v>6.0074591321911317</v>
      </c>
      <c r="AC101" s="136">
        <v>6.0074591321911317</v>
      </c>
      <c r="AD101" s="136">
        <v>6.2638982637262846</v>
      </c>
      <c r="AE101" s="136">
        <v>48.028201437405613</v>
      </c>
      <c r="AF101" s="136">
        <v>73.947520784122077</v>
      </c>
      <c r="AG101" s="136">
        <v>107.40231830364813</v>
      </c>
      <c r="AH101" s="136">
        <v>128.51720783302108</v>
      </c>
      <c r="AI101" s="136">
        <v>149.81128512331392</v>
      </c>
      <c r="AJ101" s="136">
        <v>162.15907664152141</v>
      </c>
      <c r="AK101" s="136">
        <v>175.53772034000403</v>
      </c>
      <c r="AL101" s="136">
        <v>190.03400969886459</v>
      </c>
      <c r="AM101" s="136">
        <v>205.74208628986392</v>
      </c>
      <c r="AN101" s="136">
        <v>222.76406409117973</v>
      </c>
      <c r="AO101" s="272"/>
      <c r="AP101" s="360" t="s">
        <v>300</v>
      </c>
      <c r="AQ101" s="361"/>
      <c r="AR101" s="362"/>
      <c r="AS101" s="272"/>
    </row>
    <row r="102" spans="1:45" s="160" customFormat="1" ht="11.25" customHeight="1" x14ac:dyDescent="0.15">
      <c r="A102" s="56"/>
      <c r="B102" s="56"/>
      <c r="C102" s="359"/>
      <c r="D102" s="272" t="s">
        <v>301</v>
      </c>
      <c r="E102" s="272"/>
      <c r="F102" s="136"/>
      <c r="G102" s="282">
        <v>9.3131651365906727</v>
      </c>
      <c r="H102" s="282">
        <v>9.3131651365906727</v>
      </c>
      <c r="I102" s="282">
        <v>9.3131651365906727</v>
      </c>
      <c r="J102" s="282">
        <v>9.3131651365906727</v>
      </c>
      <c r="K102" s="282">
        <v>9.3131651365906727</v>
      </c>
      <c r="L102" s="282">
        <v>9.3131651365906727</v>
      </c>
      <c r="M102" s="282">
        <v>9.3131651365906727</v>
      </c>
      <c r="N102" s="282">
        <v>9.3131651365906727</v>
      </c>
      <c r="O102" s="282">
        <v>9.3131651365906727</v>
      </c>
      <c r="P102" s="282">
        <v>9.3131651365906727</v>
      </c>
      <c r="Q102" s="282">
        <v>9.3131651365906727</v>
      </c>
      <c r="R102" s="282">
        <v>9.3131651365906727</v>
      </c>
      <c r="S102" s="282">
        <v>9.3131651365906727</v>
      </c>
      <c r="T102" s="282">
        <v>9.3131651365906727</v>
      </c>
      <c r="U102" s="282">
        <v>9.3131651365906727</v>
      </c>
      <c r="V102" s="282">
        <v>9.3131651365906727</v>
      </c>
      <c r="W102" s="282">
        <v>9.3131651365906727</v>
      </c>
      <c r="X102" s="282">
        <v>9.3131651365906727</v>
      </c>
      <c r="Y102" s="282">
        <v>9.3131651365906727</v>
      </c>
      <c r="Z102" s="282">
        <v>9.3131651365906727</v>
      </c>
      <c r="AA102" s="282">
        <v>9.3131651365906727</v>
      </c>
      <c r="AB102" s="282">
        <v>9.3131651365906727</v>
      </c>
      <c r="AC102" s="282">
        <v>9.3131651365906727</v>
      </c>
      <c r="AD102" s="282">
        <v>9.3131651365906727</v>
      </c>
      <c r="AE102" s="283">
        <v>9.3131651365906727</v>
      </c>
      <c r="AF102" s="282">
        <v>9.3131651365906727</v>
      </c>
      <c r="AG102" s="282">
        <v>9.3131651365906727</v>
      </c>
      <c r="AH102" s="282">
        <v>9.3131651365906727</v>
      </c>
      <c r="AI102" s="282">
        <v>9.3131651365906727</v>
      </c>
      <c r="AJ102" s="282">
        <v>9.3131651365906727</v>
      </c>
      <c r="AK102" s="282">
        <v>9.3131651365906727</v>
      </c>
      <c r="AL102" s="282">
        <v>9.3131651365906727</v>
      </c>
      <c r="AM102" s="282">
        <v>9.3131651365906727</v>
      </c>
      <c r="AN102" s="282">
        <v>9.3131651365906727</v>
      </c>
      <c r="AO102" s="272"/>
      <c r="AP102" s="363" t="s">
        <v>302</v>
      </c>
      <c r="AQ102" s="288">
        <f>335127/((36437+40714)/2)</f>
        <v>8.6875607574756</v>
      </c>
      <c r="AR102" s="364"/>
      <c r="AS102" s="272"/>
    </row>
    <row r="103" spans="1:45" s="160" customFormat="1" ht="11.25" customHeight="1" x14ac:dyDescent="0.15">
      <c r="A103" s="56"/>
      <c r="B103" s="56"/>
      <c r="C103" s="359"/>
      <c r="D103" s="100" t="s">
        <v>200</v>
      </c>
      <c r="E103" s="230"/>
      <c r="F103" s="136"/>
      <c r="G103" s="284">
        <v>8.2452072472441934E-2</v>
      </c>
      <c r="H103" s="284">
        <v>7.8268635543146656E-2</v>
      </c>
      <c r="I103" s="284">
        <v>7.6351226950552978E-2</v>
      </c>
      <c r="J103" s="284">
        <v>7.6351226950552978E-2</v>
      </c>
      <c r="K103" s="284">
        <v>7.6351226950552978E-2</v>
      </c>
      <c r="L103" s="284">
        <v>7.6351226950552978E-2</v>
      </c>
      <c r="M103" s="284">
        <v>7.5561705765367346E-2</v>
      </c>
      <c r="N103" s="284">
        <v>7.6351226950552978E-2</v>
      </c>
      <c r="O103" s="284">
        <v>7.5561705765367346E-2</v>
      </c>
      <c r="P103" s="284">
        <v>7.3666854920921829E-2</v>
      </c>
      <c r="Q103" s="284">
        <v>7.3666854920921829E-2</v>
      </c>
      <c r="R103" s="284">
        <v>7.3155545962896848E-2</v>
      </c>
      <c r="S103" s="284">
        <v>8.219678704858091E-2</v>
      </c>
      <c r="T103" s="284">
        <v>7.8013350119285618E-2</v>
      </c>
      <c r="U103" s="284">
        <v>7.6095941526691926E-2</v>
      </c>
      <c r="V103" s="284">
        <v>7.6095941526691926E-2</v>
      </c>
      <c r="W103" s="284">
        <v>7.6095941526691926E-2</v>
      </c>
      <c r="X103" s="284">
        <v>7.6095941526691926E-2</v>
      </c>
      <c r="Y103" s="284">
        <v>7.5306420341506308E-2</v>
      </c>
      <c r="Z103" s="284">
        <v>7.6095941526691926E-2</v>
      </c>
      <c r="AA103" s="284">
        <v>7.5306420341506308E-2</v>
      </c>
      <c r="AB103" s="284">
        <v>7.3411569497060791E-2</v>
      </c>
      <c r="AC103" s="284">
        <v>7.3411569497060791E-2</v>
      </c>
      <c r="AD103" s="284">
        <v>7.290026053903581E-2</v>
      </c>
      <c r="AE103" s="284">
        <v>9.0677281455236278E-2</v>
      </c>
      <c r="AF103" s="284">
        <v>9.0364386036179703E-2</v>
      </c>
      <c r="AG103" s="284">
        <v>8.7376232046299449E-2</v>
      </c>
      <c r="AH103" s="284">
        <v>8.6653857608673182E-2</v>
      </c>
      <c r="AI103" s="284">
        <v>8.5549982153921733E-2</v>
      </c>
      <c r="AJ103" s="284">
        <v>8.5308239956370505E-2</v>
      </c>
      <c r="AK103" s="284">
        <v>8.5073538793699402E-2</v>
      </c>
      <c r="AL103" s="284">
        <v>8.48456735872226E-2</v>
      </c>
      <c r="AM103" s="284">
        <v>8.4624445231419876E-2</v>
      </c>
      <c r="AN103" s="284">
        <v>8.4409660419960938E-2</v>
      </c>
      <c r="AO103" s="272"/>
      <c r="AP103" s="365" t="s">
        <v>303</v>
      </c>
      <c r="AQ103" s="366">
        <f>20622/((1102+1236)/2)</f>
        <v>17.640718562874252</v>
      </c>
      <c r="AR103" s="367"/>
      <c r="AS103" s="272"/>
    </row>
    <row r="104" spans="1:45" s="160" customFormat="1" ht="11.25" customHeight="1" x14ac:dyDescent="0.15">
      <c r="A104" s="56"/>
      <c r="B104" s="56"/>
      <c r="C104" s="359"/>
      <c r="D104" s="272"/>
      <c r="E104" s="287"/>
      <c r="F104" s="136"/>
      <c r="G104" s="272"/>
      <c r="H104" s="272"/>
      <c r="I104" s="272"/>
      <c r="J104" s="272"/>
      <c r="K104" s="272"/>
      <c r="L104" s="272"/>
      <c r="M104" s="272"/>
      <c r="N104" s="272"/>
      <c r="O104" s="272"/>
      <c r="P104" s="272"/>
      <c r="Q104" s="272"/>
      <c r="R104" s="272"/>
      <c r="S104" s="272"/>
      <c r="T104" s="285"/>
      <c r="U104" s="285"/>
      <c r="V104" s="285"/>
      <c r="W104" s="285"/>
      <c r="X104" s="285"/>
      <c r="Y104" s="285"/>
      <c r="Z104" s="285"/>
      <c r="AA104" s="285"/>
      <c r="AB104" s="285"/>
      <c r="AC104" s="285"/>
      <c r="AD104" s="272"/>
      <c r="AE104" s="272"/>
      <c r="AF104" s="272"/>
      <c r="AG104" s="272"/>
      <c r="AH104" s="272"/>
      <c r="AI104" s="272"/>
      <c r="AJ104" s="272"/>
      <c r="AK104" s="272"/>
      <c r="AL104" s="272"/>
      <c r="AM104" s="272"/>
      <c r="AN104" s="272"/>
      <c r="AO104" s="272"/>
      <c r="AP104" s="272"/>
      <c r="AQ104" s="272"/>
      <c r="AR104" s="272"/>
      <c r="AS104" s="272"/>
    </row>
    <row r="105" spans="1:45" s="160" customFormat="1" ht="11.25" customHeight="1" x14ac:dyDescent="0.15">
      <c r="A105" s="56"/>
      <c r="B105" s="56"/>
      <c r="C105" s="359"/>
      <c r="D105" s="100" t="s">
        <v>204</v>
      </c>
      <c r="E105" s="272"/>
      <c r="F105" s="136"/>
      <c r="G105" s="136">
        <v>39.348615102661505</v>
      </c>
      <c r="H105" s="136">
        <v>47.539103639742493</v>
      </c>
      <c r="I105" s="136">
        <v>52.999429331129825</v>
      </c>
      <c r="J105" s="136">
        <v>52.999429331129825</v>
      </c>
      <c r="K105" s="136">
        <v>52.999429331129825</v>
      </c>
      <c r="L105" s="136">
        <v>52.999429331129825</v>
      </c>
      <c r="M105" s="136">
        <v>55.729592176823502</v>
      </c>
      <c r="N105" s="136">
        <v>52.999429331129825</v>
      </c>
      <c r="O105" s="136">
        <v>55.729592176823502</v>
      </c>
      <c r="P105" s="136">
        <v>63.920080713904518</v>
      </c>
      <c r="Q105" s="136">
        <v>63.920080713904518</v>
      </c>
      <c r="R105" s="136">
        <v>66.650243559598167</v>
      </c>
      <c r="S105" s="136">
        <v>60.605383135475229</v>
      </c>
      <c r="T105" s="136">
        <v>73.208353234864404</v>
      </c>
      <c r="U105" s="136">
        <v>81.610333301123887</v>
      </c>
      <c r="V105" s="136">
        <v>81.610333301123887</v>
      </c>
      <c r="W105" s="136">
        <v>81.610333301123887</v>
      </c>
      <c r="X105" s="136">
        <v>81.610333301123887</v>
      </c>
      <c r="Y105" s="136">
        <v>85.811323334253615</v>
      </c>
      <c r="Z105" s="136">
        <v>81.610333301123887</v>
      </c>
      <c r="AA105" s="136">
        <v>85.811323334253615</v>
      </c>
      <c r="AB105" s="136">
        <v>98.41429343364284</v>
      </c>
      <c r="AC105" s="136">
        <v>98.41429343364284</v>
      </c>
      <c r="AD105" s="136">
        <v>102.61528346677255</v>
      </c>
      <c r="AE105" s="136">
        <v>65.566564906270727</v>
      </c>
      <c r="AF105" s="136">
        <v>100.95079091122943</v>
      </c>
      <c r="AG105" s="136">
        <v>146.62221077168215</v>
      </c>
      <c r="AH105" s="136">
        <v>175.44758281108017</v>
      </c>
      <c r="AI105" s="136">
        <v>204.51757625217851</v>
      </c>
      <c r="AJ105" s="136">
        <v>221.37438641365813</v>
      </c>
      <c r="AK105" s="136">
        <v>239.63848301027255</v>
      </c>
      <c r="AL105" s="136">
        <v>259.42835372584676</v>
      </c>
      <c r="AM105" s="136">
        <v>280.87251762398301</v>
      </c>
      <c r="AN105" s="136">
        <v>304.1103774426071</v>
      </c>
      <c r="AO105" s="272"/>
      <c r="AP105" s="272"/>
      <c r="AQ105" s="272"/>
      <c r="AR105" s="272"/>
      <c r="AS105" s="272"/>
    </row>
    <row r="106" spans="1:45" s="160" customFormat="1" ht="11.25" customHeight="1" x14ac:dyDescent="0.15">
      <c r="A106" s="56"/>
      <c r="B106" s="56"/>
      <c r="C106" s="359"/>
      <c r="D106" s="100" t="s">
        <v>205</v>
      </c>
      <c r="E106" s="272"/>
      <c r="F106" s="136"/>
      <c r="G106" s="282">
        <v>53.503435390652498</v>
      </c>
      <c r="H106" s="282">
        <v>53.503435390652498</v>
      </c>
      <c r="I106" s="282">
        <v>53.503435390652498</v>
      </c>
      <c r="J106" s="282">
        <v>53.503435390652498</v>
      </c>
      <c r="K106" s="282">
        <v>53.503435390652498</v>
      </c>
      <c r="L106" s="282">
        <v>53.503435390652498</v>
      </c>
      <c r="M106" s="282">
        <v>53.503435390652498</v>
      </c>
      <c r="N106" s="282">
        <v>53.503435390652498</v>
      </c>
      <c r="O106" s="282">
        <v>53.503435390652498</v>
      </c>
      <c r="P106" s="282">
        <v>53.503435390652498</v>
      </c>
      <c r="Q106" s="282">
        <v>53.503435390652498</v>
      </c>
      <c r="R106" s="282">
        <v>53.503435390652498</v>
      </c>
      <c r="S106" s="282">
        <v>53.503435390652498</v>
      </c>
      <c r="T106" s="282">
        <v>53.503435390652498</v>
      </c>
      <c r="U106" s="282">
        <v>53.503435390652498</v>
      </c>
      <c r="V106" s="282">
        <v>53.503435390652498</v>
      </c>
      <c r="W106" s="282">
        <v>53.503435390652498</v>
      </c>
      <c r="X106" s="282">
        <v>53.503435390652498</v>
      </c>
      <c r="Y106" s="282">
        <v>53.503435390652498</v>
      </c>
      <c r="Z106" s="282">
        <v>53.503435390652498</v>
      </c>
      <c r="AA106" s="282">
        <v>53.503435390652498</v>
      </c>
      <c r="AB106" s="282">
        <v>53.503435390652498</v>
      </c>
      <c r="AC106" s="282">
        <v>53.503435390652498</v>
      </c>
      <c r="AD106" s="282">
        <v>53.503435390652498</v>
      </c>
      <c r="AE106" s="283">
        <v>53.503435390652498</v>
      </c>
      <c r="AF106" s="282">
        <v>53.503435390652498</v>
      </c>
      <c r="AG106" s="282">
        <v>53.503435390652498</v>
      </c>
      <c r="AH106" s="282">
        <v>53.503435390652498</v>
      </c>
      <c r="AI106" s="282">
        <v>53.503435390652498</v>
      </c>
      <c r="AJ106" s="282">
        <v>53.503435390652498</v>
      </c>
      <c r="AK106" s="282">
        <v>53.503435390652498</v>
      </c>
      <c r="AL106" s="282">
        <v>53.503435390652498</v>
      </c>
      <c r="AM106" s="282">
        <v>53.503435390652498</v>
      </c>
      <c r="AN106" s="282">
        <v>53.503435390652498</v>
      </c>
      <c r="AO106" s="272"/>
      <c r="AP106" s="272"/>
      <c r="AQ106" s="272"/>
      <c r="AR106" s="272"/>
      <c r="AS106" s="272"/>
    </row>
    <row r="107" spans="1:45" s="160" customFormat="1" ht="11.25" customHeight="1" x14ac:dyDescent="0.15">
      <c r="A107" s="56"/>
      <c r="B107" s="56"/>
      <c r="C107" s="359"/>
      <c r="D107" s="100" t="s">
        <v>200</v>
      </c>
      <c r="E107" s="272"/>
      <c r="F107" s="136"/>
      <c r="G107" s="158">
        <v>1.3507311953290404</v>
      </c>
      <c r="H107" s="158">
        <v>1.2821980633573813</v>
      </c>
      <c r="I107" s="158">
        <v>1.2507870445370373</v>
      </c>
      <c r="J107" s="158">
        <v>1.2507870445370373</v>
      </c>
      <c r="K107" s="158">
        <v>1.2507870445370373</v>
      </c>
      <c r="L107" s="158">
        <v>1.2507870445370373</v>
      </c>
      <c r="M107" s="158">
        <v>1.2378530956110134</v>
      </c>
      <c r="N107" s="158">
        <v>1.2507870445370373</v>
      </c>
      <c r="O107" s="158">
        <v>1.2378530956110134</v>
      </c>
      <c r="P107" s="158">
        <v>1.206811618188556</v>
      </c>
      <c r="Q107" s="158">
        <v>1.206811618188556</v>
      </c>
      <c r="R107" s="158">
        <v>1.1984353465031308</v>
      </c>
      <c r="S107" s="158">
        <v>1.3465491053538352</v>
      </c>
      <c r="T107" s="158">
        <v>1.2780159733821759</v>
      </c>
      <c r="U107" s="158">
        <v>1.2466049545618321</v>
      </c>
      <c r="V107" s="158">
        <v>1.2466049545618321</v>
      </c>
      <c r="W107" s="158">
        <v>1.2466049545618321</v>
      </c>
      <c r="X107" s="158">
        <v>1.2466049545618321</v>
      </c>
      <c r="Y107" s="158">
        <v>1.233671005635808</v>
      </c>
      <c r="Z107" s="158">
        <v>1.2466049545618321</v>
      </c>
      <c r="AA107" s="158">
        <v>1.233671005635808</v>
      </c>
      <c r="AB107" s="158">
        <v>1.2026295282133506</v>
      </c>
      <c r="AC107" s="158">
        <v>1.2026295282133506</v>
      </c>
      <c r="AD107" s="158">
        <v>1.1942532565279254</v>
      </c>
      <c r="AE107" s="158">
        <v>0.12378972524731059</v>
      </c>
      <c r="AF107" s="158">
        <v>0.12336257042600865</v>
      </c>
      <c r="AG107" s="158">
        <v>0.11928323814489547</v>
      </c>
      <c r="AH107" s="158">
        <v>0.11829707566048553</v>
      </c>
      <c r="AI107" s="158">
        <v>0.11679010018594631</v>
      </c>
      <c r="AJ107" s="158">
        <v>0.11646008146752759</v>
      </c>
      <c r="AK107" s="158">
        <v>0.11613967494479101</v>
      </c>
      <c r="AL107" s="158">
        <v>0.11582860065087197</v>
      </c>
      <c r="AM107" s="158">
        <v>0.11552658677328068</v>
      </c>
      <c r="AN107" s="158">
        <v>0.11523336941639595</v>
      </c>
      <c r="AO107" s="272"/>
      <c r="AP107" s="272"/>
      <c r="AQ107" s="272"/>
      <c r="AR107" s="272"/>
      <c r="AS107" s="272"/>
    </row>
    <row r="108" spans="1:45" s="160" customFormat="1" ht="11.25" customHeight="1" x14ac:dyDescent="0.15">
      <c r="A108" s="56"/>
      <c r="B108" s="56"/>
      <c r="C108" s="359"/>
      <c r="D108" s="272"/>
      <c r="E108" s="272"/>
      <c r="F108" s="136"/>
      <c r="G108" s="272"/>
      <c r="H108" s="272"/>
      <c r="I108" s="272"/>
      <c r="J108" s="272"/>
      <c r="K108" s="272"/>
      <c r="L108" s="272"/>
      <c r="M108" s="272"/>
      <c r="N108" s="272"/>
      <c r="O108" s="272"/>
      <c r="P108" s="272"/>
      <c r="Q108" s="272"/>
      <c r="R108" s="272"/>
      <c r="S108" s="272"/>
      <c r="T108" s="285"/>
      <c r="U108" s="285"/>
      <c r="V108" s="285"/>
      <c r="W108" s="285"/>
      <c r="X108" s="285"/>
      <c r="Y108" s="285"/>
      <c r="Z108" s="285"/>
      <c r="AA108" s="285"/>
      <c r="AB108" s="285"/>
      <c r="AC108" s="285"/>
      <c r="AD108" s="272"/>
      <c r="AE108" s="272"/>
      <c r="AF108" s="272"/>
      <c r="AG108" s="272"/>
      <c r="AH108" s="272"/>
      <c r="AI108" s="272"/>
      <c r="AJ108" s="272"/>
      <c r="AK108" s="272"/>
      <c r="AL108" s="272"/>
      <c r="AM108" s="272"/>
      <c r="AN108" s="272"/>
      <c r="AO108" s="272"/>
      <c r="AP108" s="272"/>
      <c r="AQ108" s="272"/>
      <c r="AR108" s="272"/>
      <c r="AS108" s="272"/>
    </row>
    <row r="109" spans="1:45" s="160" customFormat="1" ht="11.25" customHeight="1" x14ac:dyDescent="0.15">
      <c r="A109" s="56"/>
      <c r="B109" s="56"/>
      <c r="C109" s="359"/>
      <c r="D109" s="272" t="s">
        <v>206</v>
      </c>
      <c r="E109" s="272"/>
      <c r="F109" s="136">
        <v>0</v>
      </c>
      <c r="G109" s="136">
        <v>-32.941287129712727</v>
      </c>
      <c r="H109" s="136">
        <v>-39.539428761812644</v>
      </c>
      <c r="I109" s="136">
        <v>-43.938189849879265</v>
      </c>
      <c r="J109" s="136">
        <v>-43.938189849879265</v>
      </c>
      <c r="K109" s="136">
        <v>-43.938189849879265</v>
      </c>
      <c r="L109" s="136">
        <v>-43.938189849879265</v>
      </c>
      <c r="M109" s="136">
        <v>-46.137570393912583</v>
      </c>
      <c r="N109" s="136">
        <v>-43.938189849879265</v>
      </c>
      <c r="O109" s="136">
        <v>-46.137570393912583</v>
      </c>
      <c r="P109" s="136">
        <v>-52.735712026012521</v>
      </c>
      <c r="Q109" s="136">
        <v>-52.735712026012521</v>
      </c>
      <c r="R109" s="136">
        <v>-54.935092570045811</v>
      </c>
      <c r="S109" s="136">
        <v>-50.717551284857926</v>
      </c>
      <c r="T109" s="136">
        <v>-60.863479016302769</v>
      </c>
      <c r="U109" s="136">
        <v>-67.627430837266033</v>
      </c>
      <c r="V109" s="136">
        <v>-67.627430837266033</v>
      </c>
      <c r="W109" s="136">
        <v>-67.627430837266033</v>
      </c>
      <c r="X109" s="136">
        <v>-67.627430837266033</v>
      </c>
      <c r="Y109" s="136">
        <v>-71.009406747747647</v>
      </c>
      <c r="Z109" s="136">
        <v>-67.627430837266033</v>
      </c>
      <c r="AA109" s="136">
        <v>-71.009406747747647</v>
      </c>
      <c r="AB109" s="136">
        <v>-81.155334479192533</v>
      </c>
      <c r="AC109" s="136">
        <v>-81.155334479192533</v>
      </c>
      <c r="AD109" s="136">
        <v>-84.537310389674133</v>
      </c>
      <c r="AE109" s="136">
        <v>-11.469593338196731</v>
      </c>
      <c r="AF109" s="136">
        <v>-17.627020275224709</v>
      </c>
      <c r="AG109" s="136">
        <v>-25.135983836351954</v>
      </c>
      <c r="AH109" s="136">
        <v>-29.937133220460993</v>
      </c>
      <c r="AI109" s="136">
        <v>-34.641831775564015</v>
      </c>
      <c r="AJ109" s="136">
        <v>-37.435547424921936</v>
      </c>
      <c r="AK109" s="136">
        <v>-40.459056729005596</v>
      </c>
      <c r="AL109" s="136">
        <v>-43.731517642440679</v>
      </c>
      <c r="AM109" s="136">
        <v>-47.273699688807994</v>
      </c>
      <c r="AN109" s="136">
        <v>-51.108120319567291</v>
      </c>
      <c r="AO109" s="272"/>
      <c r="AP109" s="272"/>
      <c r="AQ109" s="272"/>
      <c r="AR109" s="272"/>
      <c r="AS109" s="272"/>
    </row>
    <row r="110" spans="1:45" s="160" customFormat="1" ht="11.25" customHeight="1" x14ac:dyDescent="0.15">
      <c r="A110" s="56"/>
      <c r="B110" s="56"/>
      <c r="C110" s="359"/>
      <c r="D110" s="272" t="s">
        <v>207</v>
      </c>
      <c r="E110" s="272"/>
      <c r="F110" s="136"/>
      <c r="G110" s="289">
        <v>32.941287129712727</v>
      </c>
      <c r="H110" s="289">
        <v>6.5981416320999173</v>
      </c>
      <c r="I110" s="289">
        <v>4.398761088066621</v>
      </c>
      <c r="J110" s="289">
        <v>0</v>
      </c>
      <c r="K110" s="289">
        <v>0</v>
      </c>
      <c r="L110" s="289">
        <v>0</v>
      </c>
      <c r="M110" s="289">
        <v>2.1993805440333176</v>
      </c>
      <c r="N110" s="289">
        <v>-2.1993805440333176</v>
      </c>
      <c r="O110" s="289">
        <v>2.1993805440333176</v>
      </c>
      <c r="P110" s="289">
        <v>6.5981416320999386</v>
      </c>
      <c r="Q110" s="289">
        <v>0</v>
      </c>
      <c r="R110" s="289">
        <v>2.1993805440332892</v>
      </c>
      <c r="S110" s="289">
        <v>-4.2175412851878846</v>
      </c>
      <c r="T110" s="289">
        <v>10.145927731444843</v>
      </c>
      <c r="U110" s="289">
        <v>6.7639518209632641</v>
      </c>
      <c r="V110" s="289">
        <v>0</v>
      </c>
      <c r="W110" s="289">
        <v>0</v>
      </c>
      <c r="X110" s="289">
        <v>0</v>
      </c>
      <c r="Y110" s="289">
        <v>3.3819759104816143</v>
      </c>
      <c r="Z110" s="289">
        <v>-3.3819759104816143</v>
      </c>
      <c r="AA110" s="289">
        <v>3.3819759104816143</v>
      </c>
      <c r="AB110" s="289">
        <v>10.145927731444885</v>
      </c>
      <c r="AC110" s="289">
        <v>0</v>
      </c>
      <c r="AD110" s="289">
        <v>3.3819759104816001</v>
      </c>
      <c r="AE110" s="289">
        <v>-11.469593338196731</v>
      </c>
      <c r="AF110" s="289">
        <v>-6.1574269370279779</v>
      </c>
      <c r="AG110" s="289">
        <v>-7.5089635611272456</v>
      </c>
      <c r="AH110" s="289">
        <v>-4.8011493841090385</v>
      </c>
      <c r="AI110" s="289">
        <v>-4.7046985551030218</v>
      </c>
      <c r="AJ110" s="289">
        <v>-2.7937156493579209</v>
      </c>
      <c r="AK110" s="289">
        <v>-3.0235093040836603</v>
      </c>
      <c r="AL110" s="289">
        <v>-3.2724609134350828</v>
      </c>
      <c r="AM110" s="289">
        <v>-3.5421820463673157</v>
      </c>
      <c r="AN110" s="289">
        <v>-3.834420630759297</v>
      </c>
      <c r="AO110" s="272"/>
      <c r="AP110" s="272"/>
      <c r="AQ110" s="272"/>
      <c r="AR110" s="272"/>
      <c r="AS110" s="272"/>
    </row>
    <row r="111" spans="1:45" s="160" customFormat="1" ht="11.25" customHeight="1" x14ac:dyDescent="0.15">
      <c r="A111" s="56"/>
      <c r="B111" s="56"/>
      <c r="C111" s="359"/>
      <c r="D111" s="272"/>
      <c r="E111" s="272"/>
      <c r="F111" s="136"/>
      <c r="G111" s="272"/>
      <c r="H111" s="272"/>
      <c r="I111" s="272"/>
      <c r="J111" s="272"/>
      <c r="K111" s="272"/>
      <c r="L111" s="272"/>
      <c r="M111" s="272"/>
      <c r="N111" s="272"/>
      <c r="O111" s="272"/>
      <c r="P111" s="272"/>
      <c r="Q111" s="272"/>
      <c r="R111" s="272"/>
      <c r="S111" s="272"/>
      <c r="T111" s="285"/>
      <c r="U111" s="285"/>
      <c r="V111" s="285"/>
      <c r="W111" s="285"/>
      <c r="X111" s="285"/>
      <c r="Y111" s="285"/>
      <c r="Z111" s="285"/>
      <c r="AA111" s="285"/>
      <c r="AB111" s="285"/>
      <c r="AC111" s="285"/>
      <c r="AD111" s="272"/>
      <c r="AE111" s="272"/>
      <c r="AF111" s="272"/>
      <c r="AG111" s="272"/>
      <c r="AH111" s="272"/>
      <c r="AI111" s="272"/>
      <c r="AJ111" s="272"/>
      <c r="AK111" s="272"/>
      <c r="AL111" s="272"/>
      <c r="AM111" s="272"/>
      <c r="AN111" s="272"/>
      <c r="AO111" s="272"/>
      <c r="AP111" s="272"/>
      <c r="AQ111" s="272"/>
      <c r="AR111" s="272"/>
      <c r="AS111" s="272"/>
    </row>
    <row r="112" spans="1:45" s="160" customFormat="1" ht="11.25" customHeight="1" x14ac:dyDescent="0.15">
      <c r="A112" s="56"/>
      <c r="B112" s="56"/>
      <c r="C112" s="359"/>
      <c r="D112" s="272" t="s">
        <v>208</v>
      </c>
      <c r="E112" s="272"/>
      <c r="F112" s="136"/>
      <c r="G112" s="272"/>
      <c r="H112" s="272"/>
      <c r="I112" s="272"/>
      <c r="J112" s="272"/>
      <c r="K112" s="272"/>
      <c r="L112" s="272"/>
      <c r="M112" s="272"/>
      <c r="N112" s="272"/>
      <c r="O112" s="272"/>
      <c r="P112" s="272"/>
      <c r="Q112" s="272"/>
      <c r="R112" s="272"/>
      <c r="S112" s="272"/>
      <c r="T112" s="285"/>
      <c r="U112" s="285"/>
      <c r="V112" s="285"/>
      <c r="W112" s="285"/>
      <c r="X112" s="285"/>
      <c r="Y112" s="285"/>
      <c r="Z112" s="285"/>
      <c r="AA112" s="285"/>
      <c r="AB112" s="285"/>
      <c r="AC112" s="285"/>
      <c r="AD112" s="272"/>
      <c r="AE112" s="272"/>
      <c r="AF112" s="272"/>
      <c r="AG112" s="272"/>
      <c r="AH112" s="272"/>
      <c r="AI112" s="272"/>
      <c r="AJ112" s="272"/>
      <c r="AK112" s="272"/>
      <c r="AL112" s="272"/>
      <c r="AM112" s="272"/>
      <c r="AN112" s="272"/>
      <c r="AO112" s="272"/>
      <c r="AP112" s="272"/>
      <c r="AQ112" s="272"/>
      <c r="AR112" s="272"/>
      <c r="AS112" s="272"/>
    </row>
    <row r="113" spans="1:49" s="160" customFormat="1" ht="11.25" customHeight="1" x14ac:dyDescent="0.15">
      <c r="A113" s="56"/>
      <c r="B113" s="56"/>
      <c r="C113" s="359"/>
      <c r="D113" s="272"/>
      <c r="E113" s="272"/>
      <c r="F113" s="136"/>
      <c r="G113" s="272"/>
      <c r="H113" s="272"/>
      <c r="I113" s="272"/>
      <c r="J113" s="272"/>
      <c r="K113" s="272"/>
      <c r="L113" s="272"/>
      <c r="M113" s="272"/>
      <c r="N113" s="272"/>
      <c r="O113" s="272"/>
      <c r="P113" s="272"/>
      <c r="Q113" s="272"/>
      <c r="R113" s="272"/>
      <c r="S113" s="272"/>
      <c r="T113" s="285"/>
      <c r="U113" s="285"/>
      <c r="V113" s="285"/>
      <c r="W113" s="285"/>
      <c r="X113" s="285"/>
      <c r="Y113" s="285"/>
      <c r="Z113" s="285"/>
      <c r="AA113" s="285"/>
      <c r="AB113" s="285"/>
      <c r="AC113" s="285"/>
      <c r="AD113" s="272"/>
      <c r="AE113" s="272"/>
      <c r="AF113" s="272"/>
      <c r="AG113" s="272"/>
      <c r="AH113" s="272"/>
      <c r="AI113" s="272"/>
      <c r="AJ113" s="272"/>
      <c r="AK113" s="272"/>
      <c r="AL113" s="272"/>
      <c r="AM113" s="272"/>
      <c r="AN113" s="272"/>
      <c r="AO113" s="272"/>
      <c r="AP113" s="272"/>
      <c r="AQ113" s="272"/>
      <c r="AR113" s="272"/>
      <c r="AS113" s="272"/>
    </row>
    <row r="114" spans="1:49" s="160" customFormat="1" ht="11.25" customHeight="1" x14ac:dyDescent="0.15">
      <c r="A114" s="56"/>
      <c r="B114" s="56"/>
      <c r="C114" s="359"/>
      <c r="D114" s="272" t="s">
        <v>209</v>
      </c>
      <c r="E114" s="272"/>
      <c r="F114" s="291">
        <v>74.671999999999997</v>
      </c>
      <c r="G114" s="292">
        <v>74.671999999999997</v>
      </c>
      <c r="H114" s="292">
        <v>74.671999999999997</v>
      </c>
      <c r="I114" s="292">
        <v>74.671999999999997</v>
      </c>
      <c r="J114" s="292">
        <v>74.671999999999997</v>
      </c>
      <c r="K114" s="292">
        <v>74.671999999999997</v>
      </c>
      <c r="L114" s="292">
        <v>74.671999999999997</v>
      </c>
      <c r="M114" s="292">
        <v>74.671999999999997</v>
      </c>
      <c r="N114" s="292">
        <v>74.61638095238095</v>
      </c>
      <c r="O114" s="292">
        <v>74.560761904761904</v>
      </c>
      <c r="P114" s="292">
        <v>74.505142857142857</v>
      </c>
      <c r="Q114" s="292">
        <v>74.449523809523811</v>
      </c>
      <c r="R114" s="292">
        <v>74.393904761904764</v>
      </c>
      <c r="S114" s="292">
        <v>74.338285714285718</v>
      </c>
      <c r="T114" s="292">
        <v>74.04457142857143</v>
      </c>
      <c r="U114" s="292">
        <v>73.750857142857143</v>
      </c>
      <c r="V114" s="292">
        <v>73.457142857142856</v>
      </c>
      <c r="W114" s="292">
        <v>73.163428571428568</v>
      </c>
      <c r="X114" s="292">
        <v>72.869714285714281</v>
      </c>
      <c r="Y114" s="292">
        <v>72.575999999999993</v>
      </c>
      <c r="Z114" s="292">
        <v>72.282285714285706</v>
      </c>
      <c r="AA114" s="292">
        <v>71.988571428571419</v>
      </c>
      <c r="AB114" s="292">
        <v>71.694857142857131</v>
      </c>
      <c r="AC114" s="292">
        <v>71.401142857142844</v>
      </c>
      <c r="AD114" s="292">
        <v>71.107428571428557</v>
      </c>
      <c r="AE114" s="136">
        <v>74.671999999999997</v>
      </c>
      <c r="AF114" s="136">
        <v>74.004571428571424</v>
      </c>
      <c r="AG114" s="136">
        <v>70.47999999999999</v>
      </c>
      <c r="AH114" s="136">
        <v>65.526857142857139</v>
      </c>
      <c r="AI114" s="136">
        <v>59.145142857142858</v>
      </c>
      <c r="AJ114" s="136">
        <v>51.334857142857146</v>
      </c>
      <c r="AK114" s="136">
        <v>119.23885714285714</v>
      </c>
      <c r="AL114" s="136">
        <v>95.714285714285722</v>
      </c>
      <c r="AM114" s="136">
        <v>70.761142857142858</v>
      </c>
      <c r="AN114" s="136">
        <v>44.379428571428569</v>
      </c>
      <c r="AO114" s="272"/>
      <c r="AP114" s="272"/>
      <c r="AQ114" s="272"/>
      <c r="AR114" s="272"/>
      <c r="AS114" s="272"/>
    </row>
    <row r="115" spans="1:49" s="160" customFormat="1" ht="11.25" customHeight="1" x14ac:dyDescent="0.15">
      <c r="A115" s="56"/>
      <c r="B115" s="56"/>
      <c r="C115" s="359" t="s">
        <v>210</v>
      </c>
      <c r="D115" s="272" t="s">
        <v>211</v>
      </c>
      <c r="E115" s="272"/>
      <c r="F115" s="284"/>
      <c r="G115" s="292">
        <v>0.83333333333333337</v>
      </c>
      <c r="H115" s="292">
        <v>0.83333333333333337</v>
      </c>
      <c r="I115" s="292">
        <v>0.83333333333333337</v>
      </c>
      <c r="J115" s="292">
        <v>0.83333333333333337</v>
      </c>
      <c r="K115" s="292">
        <v>0.83333333333333337</v>
      </c>
      <c r="L115" s="292">
        <v>0.83333333333333337</v>
      </c>
      <c r="M115" s="292">
        <v>0.83333333333333337</v>
      </c>
      <c r="N115" s="292">
        <v>0.83333333333333337</v>
      </c>
      <c r="O115" s="292">
        <v>0.83333333333333337</v>
      </c>
      <c r="P115" s="292">
        <v>0.83333333333333337</v>
      </c>
      <c r="Q115" s="292">
        <v>0.83333333333333337</v>
      </c>
      <c r="R115" s="292">
        <v>0.83333333333333337</v>
      </c>
      <c r="S115" s="136">
        <v>0.83333333333333337</v>
      </c>
      <c r="T115" s="136">
        <v>0.83333333333333337</v>
      </c>
      <c r="U115" s="136">
        <v>0.83333333333333337</v>
      </c>
      <c r="V115" s="136">
        <v>0.83333333333333337</v>
      </c>
      <c r="W115" s="136">
        <v>0.83333333333333337</v>
      </c>
      <c r="X115" s="136">
        <v>0.83333333333333337</v>
      </c>
      <c r="Y115" s="136">
        <v>0.83333333333333337</v>
      </c>
      <c r="Z115" s="136">
        <v>0.83333333333333337</v>
      </c>
      <c r="AA115" s="136">
        <v>0.83333333333333337</v>
      </c>
      <c r="AB115" s="136">
        <v>0.83333333333333337</v>
      </c>
      <c r="AC115" s="136">
        <v>0.83333333333333337</v>
      </c>
      <c r="AD115" s="136">
        <v>0.83333333333333337</v>
      </c>
      <c r="AE115" s="368">
        <v>10</v>
      </c>
      <c r="AF115" s="136">
        <v>10</v>
      </c>
      <c r="AG115" s="136">
        <v>10</v>
      </c>
      <c r="AH115" s="136">
        <v>10</v>
      </c>
      <c r="AI115" s="368">
        <v>10</v>
      </c>
      <c r="AJ115" s="368">
        <v>100</v>
      </c>
      <c r="AK115" s="136">
        <v>10</v>
      </c>
      <c r="AL115" s="136">
        <v>10</v>
      </c>
      <c r="AM115" s="136">
        <v>10</v>
      </c>
      <c r="AN115" s="136">
        <v>10</v>
      </c>
      <c r="AO115" s="272"/>
      <c r="AQ115" s="272"/>
      <c r="AR115" s="272"/>
      <c r="AS115" s="272"/>
      <c r="AT115" s="369"/>
      <c r="AU115" s="369"/>
      <c r="AV115" s="369"/>
      <c r="AW115" s="346"/>
    </row>
    <row r="116" spans="1:49" s="160" customFormat="1" ht="11.25" customHeight="1" x14ac:dyDescent="0.15">
      <c r="A116" s="56"/>
      <c r="B116" s="56"/>
      <c r="C116" s="359"/>
      <c r="D116" s="272" t="s">
        <v>212</v>
      </c>
      <c r="E116" s="272"/>
      <c r="F116" s="136"/>
      <c r="G116" s="292">
        <v>0.88895238095238094</v>
      </c>
      <c r="H116" s="292">
        <v>0.88895238095238094</v>
      </c>
      <c r="I116" s="292">
        <v>0.88895238095238094</v>
      </c>
      <c r="J116" s="292">
        <v>0.88895238095238094</v>
      </c>
      <c r="K116" s="292">
        <v>0.88895238095238094</v>
      </c>
      <c r="L116" s="292">
        <v>0.88895238095238094</v>
      </c>
      <c r="M116" s="292">
        <v>0.88895238095238094</v>
      </c>
      <c r="N116" s="292">
        <v>0.88895238095238094</v>
      </c>
      <c r="O116" s="292">
        <v>0.88895238095238094</v>
      </c>
      <c r="P116" s="292">
        <v>0.88895238095238094</v>
      </c>
      <c r="Q116" s="292">
        <v>0.88895238095238094</v>
      </c>
      <c r="R116" s="292">
        <v>0.88895238095238094</v>
      </c>
      <c r="S116" s="136">
        <v>1.1270476190476191</v>
      </c>
      <c r="T116" s="136">
        <v>1.1270476190476191</v>
      </c>
      <c r="U116" s="136">
        <v>1.1270476190476191</v>
      </c>
      <c r="V116" s="136">
        <v>1.1270476190476191</v>
      </c>
      <c r="W116" s="136">
        <v>1.1270476190476191</v>
      </c>
      <c r="X116" s="136">
        <v>1.1270476190476191</v>
      </c>
      <c r="Y116" s="136">
        <v>1.1270476190476191</v>
      </c>
      <c r="Z116" s="136">
        <v>1.1270476190476191</v>
      </c>
      <c r="AA116" s="136">
        <v>1.1270476190476191</v>
      </c>
      <c r="AB116" s="136">
        <v>1.1270476190476191</v>
      </c>
      <c r="AC116" s="136">
        <v>1.1270476190476191</v>
      </c>
      <c r="AD116" s="136">
        <v>1.1270476190476191</v>
      </c>
      <c r="AE116" s="136">
        <v>10.667428571428571</v>
      </c>
      <c r="AF116" s="136">
        <v>13.524571428571429</v>
      </c>
      <c r="AG116" s="136">
        <v>14.953142857142856</v>
      </c>
      <c r="AH116" s="136">
        <v>16.381714285714285</v>
      </c>
      <c r="AI116" s="136">
        <v>17.810285714285715</v>
      </c>
      <c r="AJ116" s="136">
        <v>32.095999999999997</v>
      </c>
      <c r="AK116" s="136">
        <v>33.524571428571427</v>
      </c>
      <c r="AL116" s="136">
        <v>34.953142857142858</v>
      </c>
      <c r="AM116" s="136">
        <v>36.381714285714288</v>
      </c>
      <c r="AN116" s="136">
        <v>37.810285714285719</v>
      </c>
      <c r="AO116" s="272"/>
      <c r="AP116" s="272"/>
      <c r="AQ116" s="272"/>
      <c r="AR116" s="272"/>
      <c r="AS116" s="272"/>
    </row>
    <row r="117" spans="1:49" s="160" customFormat="1" ht="11.25" customHeight="1" x14ac:dyDescent="0.15">
      <c r="A117" s="56"/>
      <c r="B117" s="56"/>
      <c r="C117" s="359"/>
      <c r="D117" s="272" t="s">
        <v>213</v>
      </c>
      <c r="E117" s="272"/>
      <c r="F117" s="271">
        <f>F114</f>
        <v>74.671999999999997</v>
      </c>
      <c r="G117" s="271">
        <f t="shared" ref="G117:AD117" si="32">G114+G115-G116</f>
        <v>74.61638095238095</v>
      </c>
      <c r="H117" s="271">
        <f t="shared" si="32"/>
        <v>74.61638095238095</v>
      </c>
      <c r="I117" s="271">
        <f t="shared" si="32"/>
        <v>74.61638095238095</v>
      </c>
      <c r="J117" s="271">
        <f t="shared" si="32"/>
        <v>74.61638095238095</v>
      </c>
      <c r="K117" s="271">
        <f t="shared" si="32"/>
        <v>74.61638095238095</v>
      </c>
      <c r="L117" s="271">
        <f t="shared" si="32"/>
        <v>74.61638095238095</v>
      </c>
      <c r="M117" s="271">
        <f t="shared" si="32"/>
        <v>74.61638095238095</v>
      </c>
      <c r="N117" s="271">
        <f t="shared" si="32"/>
        <v>74.560761904761904</v>
      </c>
      <c r="O117" s="271">
        <f t="shared" si="32"/>
        <v>74.505142857142857</v>
      </c>
      <c r="P117" s="271">
        <f t="shared" si="32"/>
        <v>74.449523809523811</v>
      </c>
      <c r="Q117" s="271">
        <f t="shared" si="32"/>
        <v>74.393904761904764</v>
      </c>
      <c r="R117" s="271">
        <f t="shared" si="32"/>
        <v>74.338285714285718</v>
      </c>
      <c r="S117" s="271">
        <f t="shared" si="32"/>
        <v>74.04457142857143</v>
      </c>
      <c r="T117" s="271">
        <f t="shared" si="32"/>
        <v>73.750857142857143</v>
      </c>
      <c r="U117" s="271">
        <f t="shared" si="32"/>
        <v>73.457142857142856</v>
      </c>
      <c r="V117" s="271">
        <f t="shared" si="32"/>
        <v>73.163428571428568</v>
      </c>
      <c r="W117" s="271">
        <f t="shared" si="32"/>
        <v>72.869714285714281</v>
      </c>
      <c r="X117" s="271">
        <f t="shared" si="32"/>
        <v>72.575999999999993</v>
      </c>
      <c r="Y117" s="271">
        <f t="shared" si="32"/>
        <v>72.282285714285706</v>
      </c>
      <c r="Z117" s="271">
        <f t="shared" si="32"/>
        <v>71.988571428571419</v>
      </c>
      <c r="AA117" s="271">
        <f t="shared" si="32"/>
        <v>71.694857142857131</v>
      </c>
      <c r="AB117" s="271">
        <f t="shared" si="32"/>
        <v>71.401142857142844</v>
      </c>
      <c r="AC117" s="271">
        <f t="shared" si="32"/>
        <v>71.107428571428557</v>
      </c>
      <c r="AD117" s="271">
        <f t="shared" si="32"/>
        <v>70.813714285714269</v>
      </c>
      <c r="AE117" s="271">
        <f>AE114+AE115-AE116</f>
        <v>74.004571428571424</v>
      </c>
      <c r="AF117" s="271">
        <f>AF114+AF115-AF116</f>
        <v>70.47999999999999</v>
      </c>
      <c r="AG117" s="271">
        <f t="shared" ref="AG117:AN117" si="33">AG114+AG115-AG116</f>
        <v>65.526857142857139</v>
      </c>
      <c r="AH117" s="271">
        <f t="shared" si="33"/>
        <v>59.145142857142858</v>
      </c>
      <c r="AI117" s="271">
        <f t="shared" si="33"/>
        <v>51.334857142857146</v>
      </c>
      <c r="AJ117" s="271">
        <f t="shared" si="33"/>
        <v>119.23885714285714</v>
      </c>
      <c r="AK117" s="271">
        <f t="shared" si="33"/>
        <v>95.714285714285722</v>
      </c>
      <c r="AL117" s="271">
        <f t="shared" si="33"/>
        <v>70.761142857142858</v>
      </c>
      <c r="AM117" s="271">
        <f t="shared" si="33"/>
        <v>44.379428571428569</v>
      </c>
      <c r="AN117" s="271">
        <f t="shared" si="33"/>
        <v>16.56914285714285</v>
      </c>
      <c r="AO117" s="272"/>
      <c r="AP117" s="272"/>
      <c r="AQ117" s="272"/>
      <c r="AR117" s="272"/>
      <c r="AS117" s="272"/>
    </row>
    <row r="118" spans="1:49" s="160" customFormat="1" ht="11.25" customHeight="1" x14ac:dyDescent="0.15">
      <c r="A118" s="56"/>
      <c r="B118" s="56"/>
      <c r="C118" s="359"/>
      <c r="D118" s="272"/>
      <c r="E118" s="272"/>
      <c r="F118" s="136"/>
      <c r="G118" s="272"/>
      <c r="H118" s="272"/>
      <c r="I118" s="272"/>
      <c r="J118" s="272"/>
      <c r="K118" s="272"/>
      <c r="L118" s="272"/>
      <c r="M118" s="272"/>
      <c r="N118" s="272"/>
      <c r="O118" s="272"/>
      <c r="P118" s="272"/>
      <c r="Q118" s="272"/>
      <c r="R118" s="272"/>
      <c r="S118" s="272"/>
      <c r="T118" s="285"/>
      <c r="U118" s="285"/>
      <c r="V118" s="285"/>
      <c r="W118" s="285"/>
      <c r="X118" s="285"/>
      <c r="Y118" s="285"/>
      <c r="Z118" s="285"/>
      <c r="AA118" s="285"/>
      <c r="AB118" s="285"/>
      <c r="AC118" s="285"/>
      <c r="AD118" s="272"/>
      <c r="AE118" s="272"/>
      <c r="AF118" s="272"/>
      <c r="AG118" s="272"/>
      <c r="AH118" s="272"/>
      <c r="AI118" s="272"/>
      <c r="AJ118" s="272"/>
      <c r="AK118" s="272"/>
      <c r="AL118" s="272"/>
      <c r="AM118" s="272"/>
      <c r="AN118" s="272"/>
      <c r="AO118" s="272"/>
      <c r="AP118" s="272"/>
      <c r="AQ118" s="272"/>
      <c r="AR118" s="272"/>
      <c r="AS118" s="272"/>
    </row>
    <row r="119" spans="1:49" s="160" customFormat="1" x14ac:dyDescent="0.15">
      <c r="A119" s="56"/>
      <c r="B119" s="56"/>
      <c r="C119" s="359" t="s">
        <v>214</v>
      </c>
      <c r="D119" s="272" t="s">
        <v>215</v>
      </c>
      <c r="E119" s="272"/>
      <c r="F119" s="370">
        <v>7</v>
      </c>
      <c r="G119" s="272"/>
      <c r="H119" s="272"/>
      <c r="I119" s="272"/>
      <c r="J119" s="272"/>
      <c r="K119" s="272"/>
      <c r="L119" s="272"/>
      <c r="M119" s="272"/>
      <c r="N119" s="272"/>
      <c r="O119" s="272"/>
      <c r="P119" s="272"/>
      <c r="Q119" s="272"/>
      <c r="R119" s="272"/>
      <c r="S119" s="272"/>
      <c r="T119" s="285"/>
      <c r="U119" s="285"/>
      <c r="V119" s="285"/>
      <c r="W119" s="285"/>
      <c r="X119" s="285"/>
      <c r="Y119" s="285"/>
      <c r="Z119" s="285"/>
      <c r="AA119" s="285"/>
      <c r="AB119" s="285"/>
      <c r="AC119" s="285"/>
      <c r="AD119" s="272"/>
      <c r="AE119" s="272"/>
      <c r="AF119" s="272"/>
      <c r="AG119" s="272"/>
      <c r="AH119" s="272"/>
      <c r="AI119" s="272"/>
      <c r="AJ119" s="272"/>
      <c r="AK119" s="272"/>
      <c r="AL119" s="272"/>
      <c r="AM119" s="272"/>
      <c r="AN119" s="272"/>
      <c r="AO119" s="272"/>
      <c r="AQ119" s="272"/>
      <c r="AR119" s="272"/>
      <c r="AS119" s="272"/>
    </row>
    <row r="120" spans="1:49" s="160" customFormat="1" x14ac:dyDescent="0.15">
      <c r="A120" s="56"/>
      <c r="B120" s="56"/>
      <c r="C120" s="56"/>
      <c r="D120" s="272"/>
      <c r="E120" s="272"/>
      <c r="F120" s="136"/>
      <c r="G120" s="272"/>
      <c r="H120" s="272"/>
      <c r="I120" s="272"/>
      <c r="J120" s="272"/>
      <c r="K120" s="272"/>
      <c r="L120" s="272"/>
      <c r="M120" s="272"/>
      <c r="N120" s="272"/>
      <c r="O120" s="272"/>
      <c r="P120" s="272"/>
      <c r="Q120" s="272"/>
      <c r="R120" s="272"/>
      <c r="S120" s="272"/>
      <c r="T120" s="285"/>
      <c r="U120" s="285"/>
      <c r="V120" s="285"/>
      <c r="W120" s="285"/>
      <c r="X120" s="285"/>
      <c r="Y120" s="285"/>
      <c r="Z120" s="285"/>
      <c r="AA120" s="285"/>
      <c r="AB120" s="285"/>
      <c r="AC120" s="285"/>
      <c r="AD120" s="272"/>
      <c r="AE120" s="272"/>
      <c r="AF120" s="272"/>
      <c r="AG120" s="272"/>
      <c r="AH120" s="272"/>
      <c r="AI120" s="272"/>
      <c r="AJ120" s="272"/>
      <c r="AK120" s="272"/>
      <c r="AL120" s="272"/>
      <c r="AM120" s="272"/>
      <c r="AN120" s="272"/>
      <c r="AO120" s="272"/>
      <c r="AP120" s="272"/>
      <c r="AQ120" s="272"/>
      <c r="AR120" s="272"/>
      <c r="AS120" s="272"/>
    </row>
    <row r="121" spans="1:49" s="160" customFormat="1" x14ac:dyDescent="0.15">
      <c r="A121" s="56"/>
      <c r="B121" s="56"/>
      <c r="C121" s="56"/>
      <c r="D121" s="272"/>
      <c r="E121" s="272"/>
      <c r="F121" s="136"/>
      <c r="G121" s="272"/>
      <c r="H121" s="272"/>
      <c r="I121" s="272"/>
      <c r="J121" s="272"/>
      <c r="K121" s="272"/>
      <c r="L121" s="272"/>
      <c r="M121" s="272"/>
      <c r="N121" s="272"/>
      <c r="O121" s="272"/>
      <c r="P121" s="272"/>
      <c r="Q121" s="272"/>
      <c r="R121" s="272"/>
      <c r="S121" s="272"/>
      <c r="T121" s="285"/>
      <c r="U121" s="285"/>
      <c r="V121" s="285"/>
      <c r="W121" s="285"/>
      <c r="X121" s="285"/>
      <c r="Y121" s="285"/>
      <c r="Z121" s="285"/>
      <c r="AA121" s="285"/>
      <c r="AB121" s="285"/>
      <c r="AC121" s="285"/>
      <c r="AD121" s="272"/>
      <c r="AE121" s="272"/>
      <c r="AF121" s="272"/>
      <c r="AG121" s="272"/>
      <c r="AH121" s="272"/>
      <c r="AI121" s="272"/>
      <c r="AJ121" s="272"/>
      <c r="AK121" s="272"/>
      <c r="AL121" s="272"/>
      <c r="AM121" s="272"/>
      <c r="AN121" s="272"/>
      <c r="AO121" s="272"/>
      <c r="AP121" s="272"/>
      <c r="AQ121" s="272"/>
      <c r="AR121" s="272"/>
      <c r="AS121" s="272"/>
    </row>
    <row r="122" spans="1:49" s="160" customFormat="1" x14ac:dyDescent="0.15">
      <c r="A122" s="56"/>
      <c r="B122" s="56"/>
      <c r="C122" s="56"/>
      <c r="D122" s="295"/>
      <c r="E122" s="296" t="s">
        <v>60</v>
      </c>
      <c r="F122" s="296" t="s">
        <v>61</v>
      </c>
      <c r="G122" s="272"/>
      <c r="H122" s="272"/>
      <c r="I122" s="272"/>
      <c r="J122" s="272"/>
      <c r="K122" s="272"/>
      <c r="L122" s="272"/>
      <c r="M122" s="272"/>
      <c r="N122" s="272"/>
      <c r="O122" s="272"/>
      <c r="P122" s="272"/>
      <c r="Q122" s="272"/>
      <c r="R122" s="272"/>
      <c r="S122" s="272"/>
      <c r="T122" s="285"/>
      <c r="U122" s="285"/>
      <c r="V122" s="285"/>
      <c r="W122" s="285"/>
      <c r="X122" s="285"/>
      <c r="Y122" s="285"/>
      <c r="Z122" s="285"/>
      <c r="AA122" s="285"/>
      <c r="AB122" s="285"/>
      <c r="AC122" s="285"/>
      <c r="AD122" s="272"/>
      <c r="AE122" s="272"/>
      <c r="AF122" s="272"/>
      <c r="AG122" s="272"/>
      <c r="AH122" s="272"/>
      <c r="AI122" s="272"/>
      <c r="AJ122" s="272"/>
      <c r="AK122" s="272"/>
      <c r="AL122" s="272"/>
      <c r="AM122" s="272"/>
      <c r="AN122" s="272"/>
      <c r="AO122" s="272"/>
      <c r="AP122" s="272"/>
      <c r="AQ122" s="272"/>
      <c r="AR122" s="272"/>
      <c r="AS122" s="272"/>
    </row>
    <row r="123" spans="1:49" s="160" customFormat="1" x14ac:dyDescent="0.15">
      <c r="A123" s="56"/>
      <c r="B123" s="56"/>
      <c r="C123" s="56"/>
      <c r="D123" s="295" t="s">
        <v>63</v>
      </c>
      <c r="E123" s="75">
        <v>0.39813557939733979</v>
      </c>
      <c r="F123" s="75">
        <v>0.53324537049853604</v>
      </c>
      <c r="G123" s="272"/>
      <c r="H123" s="272"/>
      <c r="I123" s="272"/>
      <c r="J123" s="272"/>
      <c r="K123" s="272"/>
      <c r="L123" s="272"/>
      <c r="M123" s="272"/>
      <c r="N123" s="272"/>
      <c r="O123" s="272"/>
      <c r="P123" s="272"/>
      <c r="Q123" s="272"/>
      <c r="R123" s="272"/>
      <c r="S123" s="272"/>
      <c r="T123" s="285"/>
      <c r="U123" s="285"/>
      <c r="V123" s="285"/>
      <c r="W123" s="285"/>
      <c r="X123" s="285"/>
      <c r="Y123" s="285"/>
      <c r="Z123" s="285"/>
      <c r="AA123" s="285"/>
      <c r="AB123" s="285"/>
      <c r="AC123" s="285"/>
      <c r="AD123" s="272"/>
      <c r="AE123" s="272"/>
      <c r="AF123" s="272"/>
      <c r="AG123" s="272"/>
      <c r="AH123" s="272"/>
      <c r="AI123" s="272"/>
      <c r="AJ123" s="272"/>
      <c r="AK123" s="272"/>
      <c r="AL123" s="272"/>
      <c r="AM123" s="272"/>
      <c r="AN123" s="272"/>
      <c r="AO123" s="272"/>
      <c r="AP123" s="272"/>
      <c r="AQ123" s="272"/>
      <c r="AR123" s="272"/>
      <c r="AS123" s="272"/>
    </row>
    <row r="124" spans="1:49" s="160" customFormat="1" x14ac:dyDescent="0.15">
      <c r="A124" s="56"/>
      <c r="B124" s="56"/>
      <c r="C124" s="56"/>
      <c r="D124" s="295" t="s">
        <v>65</v>
      </c>
      <c r="E124" s="297">
        <v>3.4925539391044844</v>
      </c>
      <c r="F124" s="297">
        <v>12.250388434052251</v>
      </c>
      <c r="G124" s="272"/>
      <c r="H124" s="272"/>
      <c r="I124" s="272"/>
      <c r="J124" s="272"/>
      <c r="K124" s="272"/>
      <c r="L124" s="272"/>
      <c r="M124" s="272"/>
      <c r="N124" s="272"/>
      <c r="O124" s="272"/>
      <c r="P124" s="272"/>
      <c r="Q124" s="272"/>
      <c r="R124" s="272"/>
      <c r="S124" s="272"/>
      <c r="T124" s="285"/>
      <c r="U124" s="285"/>
      <c r="V124" s="285"/>
      <c r="W124" s="285"/>
      <c r="X124" s="285"/>
      <c r="Y124" s="285"/>
      <c r="Z124" s="285"/>
      <c r="AA124" s="285"/>
      <c r="AB124" s="285"/>
      <c r="AC124" s="285"/>
      <c r="AD124" s="272"/>
      <c r="AE124" s="272"/>
      <c r="AF124" s="272"/>
      <c r="AG124" s="272"/>
      <c r="AH124" s="272"/>
      <c r="AI124" s="272"/>
      <c r="AJ124" s="272"/>
      <c r="AK124" s="272"/>
      <c r="AL124" s="272"/>
      <c r="AM124" s="272"/>
      <c r="AN124" s="272"/>
      <c r="AO124" s="272"/>
      <c r="AP124" s="272"/>
      <c r="AQ124" s="272"/>
      <c r="AR124" s="272"/>
      <c r="AS124" s="272"/>
    </row>
    <row r="125" spans="1:49" s="160" customFormat="1" x14ac:dyDescent="0.15">
      <c r="A125" s="56"/>
      <c r="B125" s="56"/>
      <c r="C125" s="56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  <c r="R125" s="192"/>
      <c r="S125" s="192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192"/>
      <c r="AE125" s="192"/>
      <c r="AF125" s="192"/>
      <c r="AG125" s="192"/>
      <c r="AH125" s="192"/>
      <c r="AI125" s="192"/>
      <c r="AJ125" s="192"/>
      <c r="AK125" s="192"/>
      <c r="AL125" s="192"/>
      <c r="AM125" s="192"/>
      <c r="AN125" s="192"/>
    </row>
    <row r="126" spans="1:49" s="160" customFormat="1" x14ac:dyDescent="0.15">
      <c r="A126" s="56"/>
      <c r="B126" s="56"/>
      <c r="C126" s="56"/>
      <c r="T126" s="299"/>
      <c r="U126" s="299"/>
      <c r="V126" s="299"/>
      <c r="W126" s="299"/>
      <c r="X126" s="299"/>
      <c r="Y126" s="299"/>
      <c r="Z126" s="299"/>
      <c r="AA126" s="299"/>
      <c r="AB126" s="299"/>
      <c r="AC126" s="299"/>
    </row>
    <row r="127" spans="1:49" s="160" customFormat="1" x14ac:dyDescent="0.15">
      <c r="A127" s="56"/>
      <c r="B127" s="56"/>
      <c r="C127" s="56"/>
      <c r="T127" s="299"/>
      <c r="U127" s="299"/>
      <c r="V127" s="299"/>
      <c r="W127" s="299"/>
      <c r="X127" s="299"/>
      <c r="Y127" s="299"/>
      <c r="Z127" s="299"/>
      <c r="AA127" s="299"/>
      <c r="AB127" s="299"/>
      <c r="AC127" s="299"/>
    </row>
    <row r="128" spans="1:49" s="160" customFormat="1" x14ac:dyDescent="0.15">
      <c r="A128" s="56"/>
      <c r="B128" s="56"/>
      <c r="C128" s="56" t="s">
        <v>216</v>
      </c>
      <c r="T128" s="299"/>
      <c r="U128" s="299"/>
      <c r="V128" s="299"/>
      <c r="W128" s="299"/>
      <c r="X128" s="299"/>
      <c r="Y128" s="299"/>
      <c r="Z128" s="299"/>
      <c r="AA128" s="299"/>
      <c r="AB128" s="299"/>
      <c r="AC128" s="299"/>
    </row>
    <row r="129" spans="1:55" s="160" customFormat="1" x14ac:dyDescent="0.15">
      <c r="A129" s="56"/>
      <c r="B129" s="56"/>
      <c r="C129" s="56"/>
      <c r="T129" s="299"/>
      <c r="U129" s="299"/>
      <c r="V129" s="299"/>
      <c r="W129" s="299"/>
      <c r="X129" s="299"/>
      <c r="Y129" s="299"/>
      <c r="Z129" s="299"/>
      <c r="AA129" s="299"/>
      <c r="AB129" s="299"/>
      <c r="AC129" s="299"/>
    </row>
    <row r="130" spans="1:55" s="160" customFormat="1" x14ac:dyDescent="0.15">
      <c r="A130" s="56"/>
      <c r="B130" s="56"/>
      <c r="C130" s="1"/>
      <c r="D130" s="26" t="s">
        <v>217</v>
      </c>
      <c r="E130" s="300"/>
      <c r="F130" s="300"/>
      <c r="G130" s="300"/>
      <c r="H130" s="300"/>
      <c r="I130" s="300"/>
      <c r="J130" s="300"/>
      <c r="K130" s="300"/>
      <c r="L130" s="300"/>
      <c r="M130" s="300"/>
      <c r="N130" s="300"/>
      <c r="O130" s="300"/>
      <c r="P130" s="300"/>
      <c r="Q130" s="300"/>
      <c r="R130" s="300"/>
      <c r="S130" s="300"/>
      <c r="T130" s="371"/>
      <c r="U130" s="371"/>
      <c r="V130" s="371"/>
      <c r="W130" s="371"/>
      <c r="X130" s="371"/>
      <c r="Y130" s="371"/>
      <c r="Z130" s="371"/>
      <c r="AA130" s="371"/>
      <c r="AB130" s="371"/>
      <c r="AC130" s="371"/>
      <c r="AD130" s="300"/>
      <c r="AE130" s="300"/>
      <c r="AF130" s="303"/>
      <c r="AG130" s="303"/>
      <c r="AH130" s="303"/>
      <c r="AI130" s="303"/>
      <c r="AK130" s="26" t="s">
        <v>218</v>
      </c>
      <c r="AL130" s="300"/>
      <c r="AM130" s="303"/>
      <c r="AN130" s="303"/>
    </row>
    <row r="131" spans="1:55" s="160" customFormat="1" x14ac:dyDescent="0.15">
      <c r="A131" s="56"/>
      <c r="B131" s="56"/>
      <c r="C131" s="7" t="s">
        <v>87</v>
      </c>
      <c r="D131" s="160" t="s">
        <v>304</v>
      </c>
      <c r="E131" s="304"/>
      <c r="F131" s="304"/>
      <c r="G131" s="304"/>
      <c r="H131" s="304"/>
      <c r="I131" s="304"/>
      <c r="J131" s="304"/>
      <c r="K131" s="304"/>
      <c r="L131" s="304"/>
      <c r="M131" s="304"/>
      <c r="N131" s="304"/>
      <c r="O131" s="304"/>
      <c r="P131" s="304"/>
      <c r="Q131" s="304"/>
      <c r="R131" s="304"/>
      <c r="S131" s="304"/>
      <c r="T131" s="305"/>
      <c r="U131" s="305"/>
      <c r="V131" s="305"/>
      <c r="W131" s="305"/>
      <c r="X131" s="305"/>
      <c r="Y131" s="305"/>
      <c r="Z131" s="305"/>
      <c r="AA131" s="305"/>
      <c r="AB131" s="305"/>
      <c r="AC131" s="305"/>
      <c r="AD131" s="304"/>
      <c r="AE131" s="304"/>
      <c r="AK131" s="160" t="s">
        <v>305</v>
      </c>
      <c r="AL131" s="304"/>
    </row>
    <row r="132" spans="1:55" s="160" customFormat="1" x14ac:dyDescent="0.15">
      <c r="A132" s="56"/>
      <c r="B132" s="56"/>
      <c r="C132" s="7" t="s">
        <v>89</v>
      </c>
      <c r="D132" s="202" t="s">
        <v>306</v>
      </c>
      <c r="AK132" s="372" t="s">
        <v>307</v>
      </c>
      <c r="AL132" s="372"/>
      <c r="AM132" s="172"/>
      <c r="AN132" s="172"/>
      <c r="AO132" s="172"/>
    </row>
    <row r="133" spans="1:55" s="160" customFormat="1" x14ac:dyDescent="0.15">
      <c r="A133" s="56"/>
      <c r="B133" s="56"/>
      <c r="C133" s="7" t="s">
        <v>91</v>
      </c>
      <c r="D133" s="18" t="s">
        <v>308</v>
      </c>
      <c r="E133" s="304"/>
      <c r="F133" s="304"/>
      <c r="G133" s="304"/>
      <c r="H133" s="304"/>
      <c r="I133" s="304"/>
      <c r="J133" s="304"/>
      <c r="K133" s="304"/>
      <c r="L133" s="304"/>
      <c r="M133" s="304"/>
      <c r="N133" s="304"/>
      <c r="O133" s="304"/>
      <c r="P133" s="304"/>
      <c r="Q133" s="304"/>
      <c r="R133" s="304"/>
      <c r="S133" s="304"/>
      <c r="T133" s="305"/>
      <c r="U133" s="305"/>
      <c r="V133" s="305"/>
      <c r="W133" s="305"/>
      <c r="X133" s="305"/>
      <c r="Y133" s="305"/>
      <c r="Z133" s="305"/>
      <c r="AA133" s="305"/>
      <c r="AB133" s="305"/>
      <c r="AC133" s="305"/>
      <c r="AD133" s="304"/>
      <c r="AE133" s="304"/>
      <c r="AK133" s="172" t="s">
        <v>309</v>
      </c>
      <c r="AL133" s="172"/>
    </row>
    <row r="134" spans="1:55" s="160" customFormat="1" x14ac:dyDescent="0.15">
      <c r="A134" s="56"/>
      <c r="B134" s="56"/>
      <c r="C134" s="7" t="s">
        <v>94</v>
      </c>
      <c r="D134" s="18" t="s">
        <v>310</v>
      </c>
      <c r="T134" s="299"/>
      <c r="U134" s="299"/>
      <c r="V134" s="299"/>
      <c r="W134" s="299"/>
      <c r="X134" s="299"/>
      <c r="Y134" s="299"/>
      <c r="Z134" s="299"/>
      <c r="AA134" s="299"/>
      <c r="AB134" s="299"/>
      <c r="AC134" s="299"/>
      <c r="AE134" s="18" t="s">
        <v>311</v>
      </c>
      <c r="AK134" s="306" t="s">
        <v>222</v>
      </c>
      <c r="AL134" s="306"/>
    </row>
    <row r="135" spans="1:55" s="160" customFormat="1" x14ac:dyDescent="0.15">
      <c r="A135" s="56"/>
      <c r="B135" s="56"/>
      <c r="C135" s="7" t="s">
        <v>131</v>
      </c>
      <c r="D135" s="160" t="s">
        <v>312</v>
      </c>
      <c r="E135" s="304"/>
      <c r="F135" s="304"/>
      <c r="G135" s="304"/>
      <c r="H135" s="304"/>
      <c r="I135" s="304"/>
      <c r="J135" s="304"/>
      <c r="K135" s="304"/>
      <c r="L135" s="304"/>
      <c r="M135" s="304"/>
      <c r="N135" s="304"/>
      <c r="O135" s="304"/>
      <c r="P135" s="304"/>
      <c r="Q135" s="304"/>
      <c r="R135" s="304"/>
      <c r="S135" s="304"/>
      <c r="T135" s="305"/>
      <c r="U135" s="305"/>
      <c r="V135" s="305"/>
      <c r="W135" s="305"/>
      <c r="X135" s="305"/>
      <c r="Y135" s="305"/>
      <c r="Z135" s="305"/>
      <c r="AA135" s="305"/>
      <c r="AB135" s="305"/>
      <c r="AC135" s="305"/>
      <c r="AD135" s="304"/>
      <c r="AE135" s="100"/>
      <c r="AK135" s="160" t="s">
        <v>313</v>
      </c>
    </row>
    <row r="136" spans="1:55" s="160" customFormat="1" x14ac:dyDescent="0.15">
      <c r="A136" s="56"/>
      <c r="B136" s="56"/>
      <c r="C136" s="56"/>
      <c r="T136" s="299"/>
      <c r="U136" s="299"/>
      <c r="V136" s="299"/>
      <c r="W136" s="299"/>
      <c r="X136" s="299"/>
      <c r="Y136" s="299"/>
      <c r="Z136" s="299"/>
      <c r="AA136" s="299"/>
      <c r="AB136" s="299"/>
      <c r="AC136" s="299"/>
    </row>
    <row r="137" spans="1:55" s="160" customFormat="1" x14ac:dyDescent="0.15">
      <c r="A137" s="56"/>
      <c r="B137" s="56"/>
      <c r="C137" s="56" t="s">
        <v>227</v>
      </c>
      <c r="T137" s="299"/>
      <c r="U137" s="299"/>
      <c r="V137" s="299"/>
      <c r="W137" s="299"/>
      <c r="X137" s="299"/>
      <c r="Y137" s="299"/>
      <c r="Z137" s="299"/>
      <c r="AA137" s="299"/>
      <c r="AB137" s="299"/>
      <c r="AC137" s="299"/>
    </row>
    <row r="138" spans="1:55" s="160" customFormat="1" x14ac:dyDescent="0.15">
      <c r="A138" s="56"/>
      <c r="B138" s="56"/>
      <c r="C138" s="56"/>
      <c r="T138" s="299"/>
      <c r="U138" s="299"/>
      <c r="V138" s="299"/>
      <c r="W138" s="299"/>
      <c r="X138" s="299"/>
      <c r="Y138" s="299"/>
      <c r="Z138" s="299"/>
      <c r="AA138" s="299"/>
      <c r="AB138" s="299"/>
      <c r="AC138" s="299"/>
    </row>
    <row r="139" spans="1:55" s="160" customFormat="1" x14ac:dyDescent="0.15">
      <c r="A139" s="56"/>
      <c r="B139" s="56"/>
      <c r="C139" s="1"/>
      <c r="D139" s="26" t="s">
        <v>217</v>
      </c>
      <c r="E139" s="300"/>
      <c r="F139" s="300"/>
      <c r="G139" s="300"/>
      <c r="H139" s="300"/>
      <c r="I139" s="300"/>
      <c r="J139" s="300"/>
      <c r="K139" s="300"/>
      <c r="L139" s="300"/>
      <c r="M139" s="300"/>
      <c r="N139" s="300"/>
      <c r="O139" s="300"/>
      <c r="P139" s="300"/>
      <c r="Q139" s="300"/>
      <c r="R139" s="300"/>
      <c r="S139" s="300"/>
      <c r="T139" s="371"/>
      <c r="U139" s="371"/>
      <c r="V139" s="371"/>
      <c r="W139" s="371"/>
      <c r="X139" s="371"/>
      <c r="Y139" s="371"/>
      <c r="Z139" s="371"/>
      <c r="AA139" s="371"/>
      <c r="AB139" s="371"/>
      <c r="AC139" s="371"/>
      <c r="AD139" s="300"/>
      <c r="AE139" s="300"/>
      <c r="AF139" s="26"/>
      <c r="AG139" s="300"/>
      <c r="AH139" s="303"/>
      <c r="AI139" s="303"/>
      <c r="AK139" s="26" t="s">
        <v>218</v>
      </c>
      <c r="AL139" s="300"/>
      <c r="AM139" s="303"/>
      <c r="AN139" s="303"/>
    </row>
    <row r="140" spans="1:55" s="160" customFormat="1" x14ac:dyDescent="0.15">
      <c r="A140" s="56"/>
      <c r="B140" s="56"/>
      <c r="C140" s="7" t="s">
        <v>139</v>
      </c>
      <c r="D140" s="160" t="s">
        <v>228</v>
      </c>
      <c r="E140" s="304"/>
      <c r="F140" s="304"/>
      <c r="G140" s="304"/>
      <c r="H140" s="304"/>
      <c r="I140" s="304"/>
      <c r="J140" s="304"/>
      <c r="K140" s="304"/>
      <c r="L140" s="304"/>
      <c r="M140" s="304"/>
      <c r="N140" s="304"/>
      <c r="O140" s="304"/>
      <c r="P140" s="304"/>
      <c r="Q140" s="304"/>
      <c r="R140" s="304"/>
      <c r="S140" s="304"/>
      <c r="T140" s="305"/>
      <c r="U140" s="305"/>
      <c r="V140" s="305"/>
      <c r="W140" s="305"/>
      <c r="X140" s="305"/>
      <c r="Y140" s="305"/>
      <c r="Z140" s="305"/>
      <c r="AA140" s="305"/>
      <c r="AB140" s="305"/>
      <c r="AC140" s="305"/>
      <c r="AD140" s="304"/>
      <c r="AE140" s="304"/>
      <c r="AK140" s="39" t="s">
        <v>229</v>
      </c>
      <c r="AL140" s="308"/>
      <c r="BB140" s="100"/>
      <c r="BC140" s="304"/>
    </row>
    <row r="141" spans="1:55" s="160" customFormat="1" x14ac:dyDescent="0.15">
      <c r="A141" s="56"/>
      <c r="B141" s="56"/>
      <c r="C141" s="7" t="s">
        <v>141</v>
      </c>
      <c r="D141" s="100" t="s">
        <v>314</v>
      </c>
      <c r="E141" s="304"/>
      <c r="F141" s="304"/>
      <c r="G141" s="304"/>
      <c r="H141" s="304"/>
      <c r="I141" s="304"/>
      <c r="J141" s="304"/>
      <c r="K141" s="304"/>
      <c r="L141" s="304"/>
      <c r="M141" s="304"/>
      <c r="N141" s="304"/>
      <c r="O141" s="304"/>
      <c r="P141" s="304"/>
      <c r="Q141" s="304"/>
      <c r="R141" s="304"/>
      <c r="S141" s="304"/>
      <c r="T141" s="305"/>
      <c r="U141" s="305"/>
      <c r="V141" s="305"/>
      <c r="W141" s="305"/>
      <c r="X141" s="305"/>
      <c r="Y141" s="305"/>
      <c r="Z141" s="305"/>
      <c r="AA141" s="305"/>
      <c r="AB141" s="305"/>
      <c r="AC141" s="305"/>
      <c r="AD141" s="304"/>
      <c r="AE141" s="304"/>
      <c r="AK141" s="160" t="s">
        <v>250</v>
      </c>
      <c r="BB141" s="306"/>
      <c r="BC141" s="306"/>
    </row>
    <row r="142" spans="1:55" s="160" customFormat="1" x14ac:dyDescent="0.15">
      <c r="A142" s="56"/>
      <c r="B142" s="56"/>
      <c r="C142" s="7" t="s">
        <v>145</v>
      </c>
      <c r="D142" s="100" t="s">
        <v>230</v>
      </c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210"/>
      <c r="R142" s="210"/>
      <c r="S142" s="210"/>
      <c r="T142" s="309"/>
      <c r="U142" s="309"/>
      <c r="V142" s="309"/>
      <c r="W142" s="309"/>
      <c r="X142" s="309"/>
      <c r="Y142" s="309"/>
      <c r="Z142" s="309"/>
      <c r="AA142" s="309"/>
      <c r="AB142" s="309"/>
      <c r="AC142" s="309"/>
      <c r="AD142" s="210"/>
      <c r="AE142" s="210"/>
      <c r="AI142" s="272"/>
      <c r="AJ142" s="272"/>
      <c r="AK142" s="202" t="s">
        <v>231</v>
      </c>
      <c r="AL142" s="272"/>
      <c r="AM142" s="272"/>
      <c r="AN142" s="272"/>
      <c r="AO142" s="272"/>
      <c r="AP142" s="272"/>
      <c r="AQ142" s="272"/>
      <c r="AR142" s="272"/>
      <c r="AS142" s="272"/>
      <c r="AT142" s="272"/>
      <c r="AU142" s="272"/>
      <c r="AV142" s="272"/>
      <c r="AW142" s="272"/>
      <c r="AX142" s="272"/>
      <c r="AY142" s="272"/>
      <c r="AZ142" s="272"/>
      <c r="BA142" s="272"/>
      <c r="BB142" s="272"/>
      <c r="BC142" s="306"/>
    </row>
    <row r="143" spans="1:55" s="160" customFormat="1" x14ac:dyDescent="0.15">
      <c r="A143" s="56"/>
      <c r="B143" s="56"/>
      <c r="C143" s="7" t="s">
        <v>148</v>
      </c>
      <c r="D143" s="100" t="s">
        <v>232</v>
      </c>
      <c r="E143" s="202"/>
      <c r="F143" s="202"/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75"/>
      <c r="U143" s="275"/>
      <c r="V143" s="275"/>
      <c r="W143" s="275"/>
      <c r="X143" s="275"/>
      <c r="Y143" s="275"/>
      <c r="Z143" s="275"/>
      <c r="AA143" s="275"/>
      <c r="AB143" s="275"/>
      <c r="AC143" s="275"/>
      <c r="AD143" s="202"/>
      <c r="AE143" s="202"/>
      <c r="AI143" s="272"/>
      <c r="AJ143" s="272"/>
      <c r="AK143" s="18" t="s">
        <v>233</v>
      </c>
      <c r="AL143" s="272"/>
      <c r="AM143" s="272"/>
      <c r="AN143" s="272"/>
      <c r="AO143" s="272"/>
      <c r="AP143" s="272"/>
      <c r="AQ143" s="272"/>
      <c r="AR143" s="272"/>
      <c r="AS143" s="272"/>
      <c r="AT143" s="272"/>
      <c r="AU143" s="272"/>
      <c r="AV143" s="272"/>
      <c r="AW143" s="272"/>
      <c r="AX143" s="272"/>
      <c r="AY143" s="272"/>
      <c r="AZ143" s="272"/>
      <c r="BA143" s="272"/>
      <c r="BB143" s="100"/>
    </row>
    <row r="144" spans="1:55" s="160" customFormat="1" x14ac:dyDescent="0.15">
      <c r="A144" s="56"/>
      <c r="B144" s="56"/>
      <c r="C144" s="7" t="s">
        <v>152</v>
      </c>
      <c r="D144" s="100" t="s">
        <v>234</v>
      </c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75"/>
      <c r="U144" s="275"/>
      <c r="V144" s="275"/>
      <c r="W144" s="275"/>
      <c r="X144" s="275"/>
      <c r="Y144" s="275"/>
      <c r="Z144" s="275"/>
      <c r="AA144" s="275"/>
      <c r="AB144" s="275"/>
      <c r="AC144" s="275"/>
      <c r="AD144" s="202"/>
      <c r="AE144" s="202"/>
      <c r="AI144" s="272"/>
      <c r="AJ144" s="272"/>
      <c r="AK144" s="100" t="s">
        <v>235</v>
      </c>
      <c r="AL144" s="272"/>
      <c r="AM144" s="272"/>
      <c r="AN144" s="272"/>
      <c r="AO144" s="272"/>
      <c r="AP144" s="272"/>
      <c r="AQ144" s="272"/>
      <c r="AR144" s="272"/>
      <c r="AS144" s="272"/>
      <c r="AT144" s="272"/>
      <c r="AU144" s="272"/>
      <c r="AV144" s="272"/>
      <c r="AW144" s="272"/>
      <c r="AX144" s="272"/>
      <c r="AY144" s="272"/>
      <c r="AZ144" s="272"/>
      <c r="BA144" s="272"/>
      <c r="BB144" s="272"/>
      <c r="BC144" s="310"/>
    </row>
    <row r="145" spans="1:55" s="160" customFormat="1" x14ac:dyDescent="0.15">
      <c r="A145" s="56"/>
      <c r="B145" s="56"/>
      <c r="C145" s="7" t="s">
        <v>154</v>
      </c>
      <c r="D145" s="100" t="s">
        <v>236</v>
      </c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75"/>
      <c r="U145" s="275"/>
      <c r="V145" s="275"/>
      <c r="W145" s="275"/>
      <c r="X145" s="275"/>
      <c r="Y145" s="275"/>
      <c r="Z145" s="275"/>
      <c r="AA145" s="275"/>
      <c r="AB145" s="275"/>
      <c r="AC145" s="275"/>
      <c r="AD145" s="202"/>
      <c r="AE145" s="202"/>
      <c r="AI145" s="272"/>
      <c r="AJ145" s="272"/>
      <c r="AK145" s="100" t="s">
        <v>237</v>
      </c>
      <c r="AL145" s="272"/>
      <c r="AM145" s="272"/>
      <c r="AN145" s="272"/>
      <c r="AO145" s="272"/>
      <c r="AP145" s="272"/>
      <c r="AQ145" s="272"/>
      <c r="AR145" s="272"/>
      <c r="AS145" s="272"/>
      <c r="AT145" s="272"/>
      <c r="AU145" s="272"/>
      <c r="AV145" s="272"/>
      <c r="AW145" s="272"/>
      <c r="AX145" s="272"/>
      <c r="AY145" s="272"/>
      <c r="AZ145" s="272"/>
      <c r="BA145" s="272"/>
      <c r="BB145" s="202"/>
      <c r="BC145" s="36"/>
    </row>
    <row r="146" spans="1:55" s="160" customFormat="1" x14ac:dyDescent="0.15">
      <c r="A146" s="56"/>
      <c r="B146" s="56"/>
      <c r="C146" s="7" t="s">
        <v>162</v>
      </c>
      <c r="D146" s="100" t="s">
        <v>315</v>
      </c>
      <c r="E146" s="202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75"/>
      <c r="U146" s="275"/>
      <c r="V146" s="275"/>
      <c r="W146" s="275"/>
      <c r="X146" s="275"/>
      <c r="Y146" s="275"/>
      <c r="Z146" s="275"/>
      <c r="AA146" s="275"/>
      <c r="AB146" s="275"/>
      <c r="AC146" s="275"/>
      <c r="AD146" s="202"/>
      <c r="AE146" s="202"/>
      <c r="AI146" s="272"/>
      <c r="AJ146" s="272"/>
      <c r="AK146" s="202" t="s">
        <v>239</v>
      </c>
      <c r="AL146" s="272"/>
      <c r="AM146" s="272"/>
      <c r="AN146" s="272"/>
      <c r="AO146" s="272"/>
      <c r="AP146" s="272"/>
      <c r="AQ146" s="272"/>
      <c r="AR146" s="272"/>
      <c r="AS146" s="272"/>
      <c r="AT146" s="272"/>
      <c r="AU146" s="272"/>
      <c r="AV146" s="272"/>
      <c r="AW146" s="272"/>
      <c r="AX146" s="272"/>
      <c r="AY146" s="272"/>
      <c r="AZ146" s="272"/>
      <c r="BA146" s="272"/>
      <c r="BB146" s="100"/>
      <c r="BC146" s="1"/>
    </row>
    <row r="147" spans="1:55" s="160" customFormat="1" x14ac:dyDescent="0.15">
      <c r="A147" s="56"/>
      <c r="B147" s="56"/>
      <c r="C147" s="7"/>
      <c r="D147" s="100" t="s">
        <v>316</v>
      </c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75"/>
      <c r="U147" s="275"/>
      <c r="V147" s="275"/>
      <c r="W147" s="275"/>
      <c r="X147" s="275"/>
      <c r="Y147" s="275"/>
      <c r="Z147" s="275"/>
      <c r="AA147" s="275"/>
      <c r="AB147" s="275"/>
      <c r="AC147" s="275"/>
      <c r="AD147" s="202"/>
      <c r="AE147" s="202"/>
      <c r="AI147" s="272"/>
      <c r="AJ147" s="272"/>
      <c r="AK147" s="202"/>
      <c r="AL147" s="272"/>
      <c r="AM147" s="272"/>
      <c r="AN147" s="272"/>
      <c r="AO147" s="272"/>
      <c r="AP147" s="272"/>
      <c r="AQ147" s="272"/>
      <c r="AR147" s="272"/>
      <c r="AS147" s="272"/>
      <c r="AT147" s="272"/>
      <c r="AU147" s="272"/>
      <c r="AV147" s="272"/>
      <c r="AW147" s="272"/>
      <c r="AX147" s="272"/>
      <c r="AY147" s="272"/>
      <c r="AZ147" s="272"/>
      <c r="BA147" s="272"/>
      <c r="BB147" s="100"/>
      <c r="BC147" s="1"/>
    </row>
    <row r="148" spans="1:55" s="160" customFormat="1" x14ac:dyDescent="0.15">
      <c r="A148" s="56"/>
      <c r="B148" s="56"/>
      <c r="C148" s="7" t="s">
        <v>164</v>
      </c>
      <c r="D148" s="100" t="s">
        <v>240</v>
      </c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T148" s="275"/>
      <c r="U148" s="275"/>
      <c r="V148" s="275"/>
      <c r="W148" s="275"/>
      <c r="X148" s="275"/>
      <c r="Y148" s="275"/>
      <c r="Z148" s="275"/>
      <c r="AA148" s="275"/>
      <c r="AB148" s="275"/>
      <c r="AC148" s="275"/>
      <c r="AD148" s="202"/>
      <c r="AE148" s="202"/>
      <c r="AF148" s="202"/>
      <c r="AG148" s="1"/>
      <c r="AH148" s="272"/>
      <c r="AI148" s="272"/>
      <c r="AJ148" s="272"/>
      <c r="AK148" s="202" t="s">
        <v>231</v>
      </c>
      <c r="AL148" s="272"/>
      <c r="AM148" s="272"/>
      <c r="AN148" s="272"/>
      <c r="AO148" s="272"/>
      <c r="AP148" s="272"/>
      <c r="AQ148" s="272"/>
      <c r="AR148" s="272"/>
      <c r="AS148" s="272"/>
      <c r="AT148" s="272"/>
      <c r="AU148" s="272"/>
      <c r="AV148" s="272"/>
      <c r="AW148" s="272"/>
      <c r="AX148" s="272"/>
      <c r="AY148" s="272"/>
      <c r="AZ148" s="272"/>
      <c r="BA148" s="272"/>
      <c r="BB148" s="100"/>
      <c r="BC148" s="1"/>
    </row>
    <row r="149" spans="1:55" s="160" customFormat="1" x14ac:dyDescent="0.15">
      <c r="A149" s="56"/>
      <c r="B149" s="56"/>
      <c r="C149" s="7" t="s">
        <v>166</v>
      </c>
      <c r="D149" s="202" t="s">
        <v>317</v>
      </c>
      <c r="E149" s="202"/>
      <c r="F149" s="202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75"/>
      <c r="U149" s="275"/>
      <c r="V149" s="275"/>
      <c r="W149" s="275"/>
      <c r="X149" s="275"/>
      <c r="Y149" s="275"/>
      <c r="Z149" s="275"/>
      <c r="AA149" s="275"/>
      <c r="AB149" s="275"/>
      <c r="AC149" s="275"/>
      <c r="AD149" s="202"/>
      <c r="AE149" s="202"/>
      <c r="AF149" s="272"/>
      <c r="AG149" s="272"/>
      <c r="AH149" s="272"/>
      <c r="AI149" s="272"/>
      <c r="AJ149" s="272"/>
      <c r="AK149" s="39" t="s">
        <v>318</v>
      </c>
      <c r="AL149" s="272"/>
      <c r="AM149" s="272"/>
      <c r="AN149" s="272"/>
      <c r="AO149" s="272"/>
      <c r="AP149" s="272"/>
      <c r="AQ149" s="272"/>
      <c r="AR149" s="272"/>
      <c r="AS149" s="272"/>
      <c r="AT149" s="272"/>
      <c r="AU149" s="272"/>
      <c r="AV149" s="272"/>
      <c r="AW149" s="272"/>
      <c r="AX149" s="272"/>
      <c r="AY149" s="272"/>
      <c r="AZ149" s="272"/>
      <c r="BA149" s="272"/>
      <c r="BB149" s="100"/>
      <c r="BC149" s="1"/>
    </row>
    <row r="150" spans="1:55" s="160" customFormat="1" x14ac:dyDescent="0.15">
      <c r="A150" s="56"/>
      <c r="B150" s="56"/>
      <c r="C150" s="7" t="s">
        <v>168</v>
      </c>
      <c r="D150" s="39" t="s">
        <v>319</v>
      </c>
      <c r="E150" s="39"/>
      <c r="G150" s="39"/>
      <c r="H150" s="39"/>
      <c r="I150" s="39"/>
      <c r="J150" s="165"/>
      <c r="K150" s="373"/>
      <c r="L150" s="373"/>
      <c r="M150" s="202"/>
      <c r="N150" s="202"/>
      <c r="O150" s="202"/>
      <c r="P150" s="202"/>
      <c r="Q150" s="202"/>
      <c r="R150" s="202"/>
      <c r="S150" s="202"/>
      <c r="T150" s="275"/>
      <c r="U150" s="275"/>
      <c r="V150" s="275"/>
      <c r="W150" s="275"/>
      <c r="X150" s="275"/>
      <c r="Y150" s="275"/>
      <c r="Z150" s="275"/>
      <c r="AA150" s="275"/>
      <c r="AB150" s="275"/>
      <c r="AC150" s="275"/>
      <c r="AD150" s="202"/>
      <c r="AE150" s="202"/>
      <c r="AF150" s="272"/>
      <c r="AG150" s="272"/>
      <c r="AH150" s="272"/>
      <c r="AI150" s="374">
        <v>0.06</v>
      </c>
      <c r="AJ150" s="272"/>
      <c r="AK150" s="272" t="s">
        <v>320</v>
      </c>
      <c r="AL150" s="272"/>
      <c r="AM150" s="272"/>
      <c r="AN150" s="272"/>
      <c r="AO150" s="272"/>
      <c r="AP150" s="272"/>
      <c r="AQ150" s="272"/>
      <c r="AR150" s="272"/>
      <c r="AS150" s="272"/>
      <c r="AT150" s="272"/>
      <c r="AU150" s="272"/>
      <c r="AV150" s="272"/>
      <c r="AW150" s="272"/>
      <c r="AX150" s="272"/>
      <c r="AY150" s="272"/>
      <c r="AZ150" s="272"/>
      <c r="BA150" s="272"/>
      <c r="BB150" s="202"/>
      <c r="BC150" s="1"/>
    </row>
    <row r="151" spans="1:55" s="160" customFormat="1" x14ac:dyDescent="0.15">
      <c r="A151" s="56"/>
      <c r="B151" s="56"/>
      <c r="C151" s="7" t="s">
        <v>170</v>
      </c>
      <c r="D151" s="160" t="s">
        <v>321</v>
      </c>
      <c r="E151" s="202"/>
      <c r="F151" s="202"/>
      <c r="G151" s="202"/>
      <c r="H151" s="202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  <c r="T151" s="275"/>
      <c r="U151" s="275"/>
      <c r="V151" s="275"/>
      <c r="W151" s="275"/>
      <c r="X151" s="275"/>
      <c r="Y151" s="275"/>
      <c r="Z151" s="275"/>
      <c r="AA151" s="275"/>
      <c r="AB151" s="275"/>
      <c r="AC151" s="275"/>
      <c r="AD151" s="202"/>
      <c r="AE151" s="202"/>
      <c r="AF151" s="272"/>
      <c r="AG151" s="272"/>
      <c r="AH151" s="272"/>
      <c r="AI151" s="272"/>
      <c r="AJ151" s="272"/>
      <c r="AK151" s="39" t="s">
        <v>248</v>
      </c>
      <c r="AL151" s="272"/>
      <c r="AM151" s="272"/>
      <c r="AN151" s="272"/>
      <c r="AO151" s="272"/>
      <c r="AP151" s="272"/>
      <c r="AQ151" s="272"/>
      <c r="AR151" s="272"/>
      <c r="AS151" s="272"/>
      <c r="AT151" s="272"/>
      <c r="AU151" s="272"/>
      <c r="AV151" s="272"/>
      <c r="AW151" s="272"/>
      <c r="AX151" s="272"/>
      <c r="AY151" s="272"/>
      <c r="AZ151" s="272"/>
      <c r="BA151" s="272"/>
      <c r="BB151" s="202"/>
      <c r="BC151" s="1"/>
    </row>
    <row r="152" spans="1:55" s="160" customFormat="1" x14ac:dyDescent="0.15">
      <c r="A152" s="56"/>
      <c r="B152" s="56"/>
      <c r="C152" s="56" t="s">
        <v>172</v>
      </c>
      <c r="D152" s="160" t="s">
        <v>322</v>
      </c>
      <c r="T152" s="299"/>
      <c r="U152" s="299"/>
      <c r="V152" s="299"/>
      <c r="W152" s="299"/>
      <c r="X152" s="299"/>
      <c r="Y152" s="299"/>
      <c r="Z152" s="299"/>
      <c r="AA152" s="299"/>
      <c r="AB152" s="299"/>
      <c r="AC152" s="299"/>
      <c r="AK152" s="39" t="s">
        <v>323</v>
      </c>
    </row>
    <row r="153" spans="1:55" s="160" customFormat="1" x14ac:dyDescent="0.15">
      <c r="A153" s="56"/>
      <c r="B153" s="56"/>
      <c r="C153" s="56" t="s">
        <v>179</v>
      </c>
      <c r="D153" s="255" t="s">
        <v>324</v>
      </c>
      <c r="T153" s="299"/>
      <c r="U153" s="299"/>
      <c r="V153" s="299"/>
      <c r="W153" s="299"/>
      <c r="X153" s="299"/>
      <c r="Y153" s="299"/>
      <c r="Z153" s="299"/>
      <c r="AA153" s="299"/>
      <c r="AB153" s="299"/>
      <c r="AC153" s="299"/>
      <c r="AK153" s="160" t="s">
        <v>255</v>
      </c>
    </row>
    <row r="154" spans="1:55" s="160" customFormat="1" x14ac:dyDescent="0.15">
      <c r="A154" s="56"/>
      <c r="B154" s="56"/>
      <c r="C154" s="56" t="s">
        <v>186</v>
      </c>
      <c r="D154" s="100" t="s">
        <v>325</v>
      </c>
      <c r="T154" s="299"/>
      <c r="U154" s="299"/>
      <c r="V154" s="299"/>
      <c r="W154" s="299"/>
      <c r="X154" s="299"/>
      <c r="Y154" s="299"/>
      <c r="Z154" s="299"/>
      <c r="AA154" s="299"/>
      <c r="AB154" s="299"/>
      <c r="AC154" s="299"/>
      <c r="AK154" s="39" t="s">
        <v>323</v>
      </c>
    </row>
    <row r="155" spans="1:55" s="160" customFormat="1" x14ac:dyDescent="0.15">
      <c r="A155" s="56"/>
      <c r="B155" s="56"/>
      <c r="C155" s="56" t="s">
        <v>191</v>
      </c>
      <c r="D155" s="39" t="s">
        <v>253</v>
      </c>
      <c r="T155" s="299"/>
      <c r="U155" s="299"/>
      <c r="V155" s="299"/>
      <c r="W155" s="299"/>
      <c r="X155" s="299"/>
      <c r="Y155" s="299"/>
      <c r="Z155" s="299"/>
      <c r="AA155" s="299"/>
      <c r="AB155" s="299"/>
      <c r="AC155" s="299"/>
      <c r="AK155" s="39" t="s">
        <v>248</v>
      </c>
    </row>
    <row r="156" spans="1:55" s="160" customFormat="1" x14ac:dyDescent="0.15">
      <c r="A156" s="56"/>
      <c r="B156" s="56"/>
      <c r="C156" s="56" t="s">
        <v>210</v>
      </c>
      <c r="D156" s="160" t="s">
        <v>257</v>
      </c>
      <c r="T156" s="299"/>
      <c r="U156" s="299"/>
      <c r="V156" s="299"/>
      <c r="W156" s="299"/>
      <c r="X156" s="299"/>
      <c r="Y156" s="299"/>
      <c r="Z156" s="299"/>
      <c r="AA156" s="299"/>
      <c r="AB156" s="299"/>
      <c r="AC156" s="299"/>
      <c r="AK156" s="160" t="s">
        <v>255</v>
      </c>
    </row>
    <row r="157" spans="1:55" s="160" customFormat="1" x14ac:dyDescent="0.15">
      <c r="A157" s="56"/>
      <c r="B157" s="56"/>
      <c r="C157" s="56" t="s">
        <v>214</v>
      </c>
      <c r="D157" s="100" t="s">
        <v>326</v>
      </c>
      <c r="T157" s="299"/>
      <c r="U157" s="299"/>
      <c r="V157" s="299"/>
      <c r="W157" s="299"/>
      <c r="X157" s="299"/>
      <c r="Y157" s="299"/>
      <c r="Z157" s="299"/>
      <c r="AA157" s="299"/>
      <c r="AB157" s="299"/>
      <c r="AC157" s="299"/>
      <c r="AK157" s="160" t="s">
        <v>259</v>
      </c>
    </row>
    <row r="158" spans="1:55" s="160" customFormat="1" x14ac:dyDescent="0.15">
      <c r="A158" s="56"/>
      <c r="B158" s="56"/>
      <c r="C158" s="56"/>
      <c r="D158" s="100"/>
      <c r="T158" s="299"/>
      <c r="U158" s="299"/>
      <c r="V158" s="299"/>
      <c r="W158" s="299"/>
      <c r="X158" s="299"/>
      <c r="Y158" s="299"/>
      <c r="Z158" s="299"/>
      <c r="AA158" s="299"/>
      <c r="AB158" s="299"/>
      <c r="AC158" s="299"/>
    </row>
    <row r="159" spans="1:55" s="160" customFormat="1" x14ac:dyDescent="0.15">
      <c r="A159" s="56"/>
      <c r="B159" s="56"/>
      <c r="C159" s="56"/>
      <c r="T159" s="299"/>
      <c r="U159" s="299"/>
      <c r="V159" s="299"/>
      <c r="W159" s="299"/>
      <c r="X159" s="299"/>
      <c r="Y159" s="299"/>
      <c r="Z159" s="299"/>
      <c r="AA159" s="299"/>
      <c r="AB159" s="299"/>
      <c r="AC159" s="299"/>
    </row>
    <row r="160" spans="1:55" s="160" customFormat="1" x14ac:dyDescent="0.15">
      <c r="A160" s="56"/>
      <c r="B160" s="56"/>
      <c r="C160" s="56"/>
      <c r="T160" s="299"/>
      <c r="U160" s="299"/>
      <c r="V160" s="299"/>
      <c r="W160" s="299"/>
      <c r="X160" s="299"/>
      <c r="Y160" s="299"/>
      <c r="Z160" s="299"/>
      <c r="AA160" s="299"/>
      <c r="AB160" s="299"/>
      <c r="AC160" s="299"/>
    </row>
    <row r="161" spans="1:29" s="160" customFormat="1" x14ac:dyDescent="0.15">
      <c r="A161" s="56"/>
      <c r="B161" s="56"/>
      <c r="C161" s="56"/>
      <c r="T161" s="299"/>
      <c r="U161" s="299"/>
      <c r="V161" s="299"/>
      <c r="W161" s="299"/>
      <c r="X161" s="299"/>
      <c r="Y161" s="299"/>
      <c r="Z161" s="299"/>
      <c r="AA161" s="299"/>
      <c r="AB161" s="299"/>
      <c r="AC161" s="299"/>
    </row>
    <row r="162" spans="1:29" s="160" customFormat="1" x14ac:dyDescent="0.15">
      <c r="A162" s="56"/>
      <c r="B162" s="56"/>
      <c r="C162" s="56"/>
      <c r="T162" s="299"/>
      <c r="U162" s="299"/>
      <c r="V162" s="299"/>
      <c r="W162" s="299"/>
      <c r="X162" s="299"/>
      <c r="Y162" s="299"/>
      <c r="Z162" s="299"/>
      <c r="AA162" s="299"/>
      <c r="AB162" s="299"/>
      <c r="AC162" s="299"/>
    </row>
    <row r="163" spans="1:29" s="160" customFormat="1" x14ac:dyDescent="0.15">
      <c r="A163" s="56"/>
      <c r="B163" s="56"/>
      <c r="C163" s="56"/>
      <c r="T163" s="299"/>
      <c r="U163" s="299"/>
      <c r="V163" s="299"/>
      <c r="W163" s="299"/>
      <c r="X163" s="299"/>
      <c r="Y163" s="299"/>
      <c r="Z163" s="299"/>
      <c r="AA163" s="299"/>
      <c r="AB163" s="299"/>
      <c r="AC163" s="299"/>
    </row>
    <row r="164" spans="1:29" s="160" customFormat="1" x14ac:dyDescent="0.15">
      <c r="A164" s="56"/>
      <c r="B164" s="56"/>
      <c r="C164" s="56"/>
      <c r="T164" s="299"/>
      <c r="U164" s="299"/>
      <c r="V164" s="299"/>
      <c r="W164" s="299"/>
      <c r="X164" s="299"/>
      <c r="Y164" s="299"/>
      <c r="Z164" s="299"/>
      <c r="AA164" s="299"/>
      <c r="AB164" s="299"/>
      <c r="AC164" s="299"/>
    </row>
    <row r="165" spans="1:29" s="160" customFormat="1" x14ac:dyDescent="0.15">
      <c r="A165" s="56"/>
      <c r="B165" s="56"/>
      <c r="C165" s="56"/>
      <c r="T165" s="299"/>
      <c r="U165" s="299"/>
      <c r="V165" s="299"/>
      <c r="W165" s="299"/>
      <c r="X165" s="299"/>
      <c r="Y165" s="299"/>
      <c r="Z165" s="299"/>
      <c r="AA165" s="299"/>
      <c r="AB165" s="299"/>
      <c r="AC165" s="299"/>
    </row>
    <row r="166" spans="1:29" s="160" customFormat="1" x14ac:dyDescent="0.15">
      <c r="A166" s="56"/>
      <c r="B166" s="56"/>
      <c r="C166" s="56"/>
      <c r="T166" s="299"/>
      <c r="U166" s="299"/>
      <c r="V166" s="299"/>
      <c r="W166" s="299"/>
      <c r="X166" s="299"/>
      <c r="Y166" s="299"/>
      <c r="Z166" s="299"/>
      <c r="AA166" s="299"/>
      <c r="AB166" s="299"/>
      <c r="AC166" s="299"/>
    </row>
    <row r="167" spans="1:29" s="160" customFormat="1" x14ac:dyDescent="0.15">
      <c r="A167" s="56"/>
      <c r="B167" s="56"/>
      <c r="C167" s="56"/>
      <c r="T167" s="299"/>
      <c r="U167" s="299"/>
      <c r="V167" s="299"/>
      <c r="W167" s="299"/>
      <c r="X167" s="299"/>
      <c r="Y167" s="299"/>
      <c r="Z167" s="299"/>
      <c r="AA167" s="299"/>
      <c r="AB167" s="299"/>
      <c r="AC167" s="299"/>
    </row>
    <row r="168" spans="1:29" s="160" customFormat="1" x14ac:dyDescent="0.15">
      <c r="A168" s="56"/>
      <c r="B168" s="56"/>
      <c r="C168" s="56"/>
      <c r="T168" s="299"/>
      <c r="U168" s="299"/>
      <c r="V168" s="299"/>
      <c r="W168" s="299"/>
      <c r="X168" s="299"/>
      <c r="Y168" s="299"/>
      <c r="Z168" s="299"/>
      <c r="AA168" s="299"/>
      <c r="AB168" s="299"/>
      <c r="AC168" s="299"/>
    </row>
    <row r="169" spans="1:29" s="160" customFormat="1" x14ac:dyDescent="0.15">
      <c r="A169" s="56"/>
      <c r="B169" s="56"/>
      <c r="C169" s="56"/>
      <c r="T169" s="299"/>
      <c r="U169" s="299"/>
      <c r="V169" s="299"/>
      <c r="W169" s="299"/>
      <c r="X169" s="299"/>
      <c r="Y169" s="299"/>
      <c r="Z169" s="299"/>
      <c r="AA169" s="299"/>
      <c r="AB169" s="299"/>
      <c r="AC169" s="299"/>
    </row>
    <row r="170" spans="1:29" s="160" customFormat="1" x14ac:dyDescent="0.15">
      <c r="A170" s="56"/>
      <c r="B170" s="56"/>
      <c r="C170" s="56"/>
      <c r="T170" s="299"/>
      <c r="U170" s="299"/>
      <c r="V170" s="299"/>
      <c r="W170" s="299"/>
      <c r="X170" s="299"/>
      <c r="Y170" s="299"/>
      <c r="Z170" s="299"/>
      <c r="AA170" s="299"/>
      <c r="AB170" s="299"/>
      <c r="AC170" s="299"/>
    </row>
    <row r="171" spans="1:29" s="160" customFormat="1" x14ac:dyDescent="0.15">
      <c r="A171" s="56"/>
      <c r="B171" s="56"/>
      <c r="C171" s="56"/>
      <c r="T171" s="299"/>
      <c r="U171" s="299"/>
      <c r="V171" s="299"/>
      <c r="W171" s="299"/>
      <c r="X171" s="299"/>
      <c r="Y171" s="299"/>
      <c r="Z171" s="299"/>
      <c r="AA171" s="299"/>
      <c r="AB171" s="299"/>
      <c r="AC171" s="299"/>
    </row>
    <row r="172" spans="1:29" s="160" customFormat="1" x14ac:dyDescent="0.15">
      <c r="A172" s="56"/>
      <c r="B172" s="56"/>
      <c r="C172" s="56"/>
      <c r="T172" s="299"/>
      <c r="U172" s="299"/>
      <c r="V172" s="299"/>
      <c r="W172" s="299"/>
      <c r="X172" s="299"/>
      <c r="Y172" s="299"/>
      <c r="Z172" s="299"/>
      <c r="AA172" s="299"/>
      <c r="AB172" s="299"/>
      <c r="AC172" s="299"/>
    </row>
    <row r="173" spans="1:29" s="160" customFormat="1" x14ac:dyDescent="0.15">
      <c r="A173" s="56"/>
      <c r="B173" s="56"/>
      <c r="C173" s="56"/>
      <c r="T173" s="299"/>
      <c r="U173" s="299"/>
      <c r="V173" s="299"/>
      <c r="W173" s="299"/>
      <c r="X173" s="299"/>
      <c r="Y173" s="299"/>
      <c r="Z173" s="299"/>
      <c r="AA173" s="299"/>
      <c r="AB173" s="299"/>
      <c r="AC173" s="299"/>
    </row>
    <row r="174" spans="1:29" s="160" customFormat="1" x14ac:dyDescent="0.15">
      <c r="A174" s="56"/>
      <c r="B174" s="56"/>
      <c r="C174" s="56"/>
      <c r="T174" s="299"/>
      <c r="U174" s="299"/>
      <c r="V174" s="299"/>
      <c r="W174" s="299"/>
      <c r="X174" s="299"/>
      <c r="Y174" s="299"/>
      <c r="Z174" s="299"/>
      <c r="AA174" s="299"/>
      <c r="AB174" s="299"/>
      <c r="AC174" s="299"/>
    </row>
    <row r="175" spans="1:29" s="160" customFormat="1" x14ac:dyDescent="0.15">
      <c r="A175" s="56"/>
      <c r="B175" s="56"/>
      <c r="C175" s="56"/>
      <c r="T175" s="299"/>
      <c r="U175" s="299"/>
      <c r="V175" s="299"/>
      <c r="W175" s="299"/>
      <c r="X175" s="299"/>
      <c r="Y175" s="299"/>
      <c r="Z175" s="299"/>
      <c r="AA175" s="299"/>
      <c r="AB175" s="299"/>
      <c r="AC175" s="299"/>
    </row>
    <row r="176" spans="1:29" s="160" customFormat="1" x14ac:dyDescent="0.15">
      <c r="A176" s="56"/>
      <c r="B176" s="56"/>
      <c r="C176" s="56"/>
      <c r="T176" s="299"/>
      <c r="U176" s="299"/>
      <c r="V176" s="299"/>
      <c r="W176" s="299"/>
      <c r="X176" s="299"/>
      <c r="Y176" s="299"/>
      <c r="Z176" s="299"/>
      <c r="AA176" s="299"/>
      <c r="AB176" s="299"/>
      <c r="AC176" s="299"/>
    </row>
    <row r="177" spans="1:32" s="160" customFormat="1" x14ac:dyDescent="0.15">
      <c r="A177" s="56"/>
      <c r="B177" s="56"/>
      <c r="C177" s="56"/>
      <c r="T177" s="299"/>
      <c r="U177" s="299"/>
      <c r="V177" s="299"/>
      <c r="W177" s="299"/>
      <c r="X177" s="299"/>
      <c r="Y177" s="299"/>
      <c r="Z177" s="299"/>
      <c r="AA177" s="299"/>
      <c r="AB177" s="299"/>
      <c r="AC177" s="299"/>
    </row>
    <row r="178" spans="1:32" s="160" customFormat="1" x14ac:dyDescent="0.15">
      <c r="A178" s="56"/>
      <c r="B178" s="56"/>
      <c r="C178" s="56"/>
      <c r="T178" s="299"/>
      <c r="U178" s="299"/>
      <c r="V178" s="299"/>
      <c r="W178" s="299"/>
      <c r="X178" s="299"/>
      <c r="Y178" s="299"/>
      <c r="Z178" s="299"/>
      <c r="AA178" s="299"/>
      <c r="AB178" s="299"/>
      <c r="AC178" s="299"/>
      <c r="AF178" s="272"/>
    </row>
    <row r="179" spans="1:32" s="160" customFormat="1" x14ac:dyDescent="0.15">
      <c r="A179" s="56"/>
      <c r="B179" s="56"/>
      <c r="C179" s="56"/>
      <c r="T179" s="299"/>
      <c r="U179" s="299"/>
      <c r="V179" s="299"/>
      <c r="W179" s="299"/>
      <c r="X179" s="299"/>
      <c r="Y179" s="299"/>
      <c r="Z179" s="299"/>
      <c r="AA179" s="299"/>
      <c r="AB179" s="299"/>
      <c r="AC179" s="299"/>
    </row>
    <row r="180" spans="1:32" s="160" customFormat="1" x14ac:dyDescent="0.15">
      <c r="A180" s="56"/>
      <c r="B180" s="56"/>
      <c r="C180" s="56"/>
      <c r="T180" s="299"/>
      <c r="U180" s="299"/>
      <c r="V180" s="299"/>
      <c r="W180" s="299"/>
      <c r="X180" s="299"/>
      <c r="Y180" s="299"/>
      <c r="Z180" s="299"/>
      <c r="AA180" s="299"/>
      <c r="AB180" s="299"/>
      <c r="AC180" s="299"/>
    </row>
    <row r="181" spans="1:32" s="160" customFormat="1" x14ac:dyDescent="0.15">
      <c r="A181" s="56"/>
      <c r="B181" s="56"/>
      <c r="C181" s="56"/>
      <c r="T181" s="299"/>
      <c r="U181" s="299"/>
      <c r="V181" s="299"/>
      <c r="W181" s="299"/>
      <c r="X181" s="299"/>
      <c r="Y181" s="299"/>
      <c r="Z181" s="299"/>
      <c r="AA181" s="299"/>
      <c r="AB181" s="299"/>
      <c r="AC181" s="299"/>
    </row>
    <row r="182" spans="1:32" s="160" customFormat="1" x14ac:dyDescent="0.15">
      <c r="A182" s="56"/>
      <c r="B182" s="56"/>
      <c r="C182" s="56"/>
      <c r="T182" s="299"/>
      <c r="U182" s="299"/>
      <c r="V182" s="299"/>
      <c r="W182" s="299"/>
      <c r="X182" s="299"/>
      <c r="Y182" s="299"/>
      <c r="Z182" s="299"/>
      <c r="AA182" s="299"/>
      <c r="AB182" s="299"/>
      <c r="AC182" s="299"/>
    </row>
    <row r="183" spans="1:32" s="160" customFormat="1" x14ac:dyDescent="0.15">
      <c r="A183" s="56"/>
      <c r="B183" s="56"/>
      <c r="C183" s="56"/>
      <c r="T183" s="299"/>
      <c r="U183" s="299"/>
      <c r="V183" s="299"/>
      <c r="W183" s="299"/>
      <c r="X183" s="299"/>
      <c r="Y183" s="299"/>
      <c r="Z183" s="299"/>
      <c r="AA183" s="299"/>
      <c r="AB183" s="299"/>
      <c r="AC183" s="299"/>
    </row>
    <row r="184" spans="1:32" s="160" customFormat="1" x14ac:dyDescent="0.15">
      <c r="A184" s="56"/>
      <c r="B184" s="56"/>
      <c r="C184" s="56"/>
      <c r="T184" s="299"/>
      <c r="U184" s="299"/>
      <c r="V184" s="299"/>
      <c r="W184" s="299"/>
      <c r="X184" s="299"/>
      <c r="Y184" s="299"/>
      <c r="Z184" s="299"/>
      <c r="AA184" s="299"/>
      <c r="AB184" s="299"/>
      <c r="AC184" s="299"/>
    </row>
    <row r="185" spans="1:32" s="160" customFormat="1" x14ac:dyDescent="0.15">
      <c r="A185" s="56"/>
      <c r="B185" s="56"/>
      <c r="C185" s="56"/>
      <c r="T185" s="299"/>
      <c r="U185" s="299"/>
      <c r="V185" s="299"/>
      <c r="W185" s="299"/>
      <c r="X185" s="299"/>
      <c r="Y185" s="299"/>
      <c r="Z185" s="299"/>
      <c r="AA185" s="299"/>
      <c r="AB185" s="299"/>
      <c r="AC185" s="299"/>
    </row>
    <row r="186" spans="1:32" s="160" customFormat="1" x14ac:dyDescent="0.15">
      <c r="A186" s="56"/>
      <c r="B186" s="56"/>
      <c r="C186" s="56"/>
      <c r="T186" s="299"/>
      <c r="U186" s="299"/>
      <c r="V186" s="299"/>
      <c r="W186" s="299"/>
      <c r="X186" s="299"/>
      <c r="Y186" s="299"/>
      <c r="Z186" s="299"/>
      <c r="AA186" s="299"/>
      <c r="AB186" s="299"/>
      <c r="AC186" s="299"/>
    </row>
    <row r="187" spans="1:32" s="160" customFormat="1" x14ac:dyDescent="0.15">
      <c r="A187" s="56"/>
      <c r="B187" s="56"/>
      <c r="C187" s="56"/>
      <c r="T187" s="299"/>
      <c r="U187" s="299"/>
      <c r="V187" s="299"/>
      <c r="W187" s="299"/>
      <c r="X187" s="299"/>
      <c r="Y187" s="299"/>
      <c r="Z187" s="299"/>
      <c r="AA187" s="299"/>
      <c r="AB187" s="299"/>
      <c r="AC187" s="299"/>
    </row>
    <row r="188" spans="1:32" s="160" customFormat="1" x14ac:dyDescent="0.15">
      <c r="A188" s="56"/>
      <c r="B188" s="56"/>
      <c r="C188" s="56"/>
      <c r="T188" s="299"/>
      <c r="U188" s="299"/>
      <c r="V188" s="299"/>
      <c r="W188" s="299"/>
      <c r="X188" s="299"/>
      <c r="Y188" s="299"/>
      <c r="Z188" s="299"/>
      <c r="AA188" s="299"/>
      <c r="AB188" s="299"/>
      <c r="AC188" s="299"/>
    </row>
    <row r="189" spans="1:32" s="160" customFormat="1" x14ac:dyDescent="0.15">
      <c r="A189" s="56"/>
      <c r="B189" s="56"/>
      <c r="C189" s="56"/>
      <c r="T189" s="299"/>
      <c r="U189" s="299"/>
      <c r="V189" s="299"/>
      <c r="W189" s="299"/>
      <c r="X189" s="299"/>
      <c r="Y189" s="299"/>
      <c r="Z189" s="299"/>
      <c r="AA189" s="299"/>
      <c r="AB189" s="299"/>
      <c r="AC189" s="299"/>
    </row>
    <row r="190" spans="1:32" s="160" customFormat="1" x14ac:dyDescent="0.15">
      <c r="A190" s="56"/>
      <c r="B190" s="56"/>
      <c r="C190" s="56"/>
      <c r="T190" s="299"/>
      <c r="U190" s="299"/>
      <c r="V190" s="299"/>
      <c r="W190" s="299"/>
      <c r="X190" s="299"/>
      <c r="Y190" s="299"/>
      <c r="Z190" s="299"/>
      <c r="AA190" s="299"/>
      <c r="AB190" s="299"/>
      <c r="AC190" s="299"/>
    </row>
    <row r="191" spans="1:32" s="160" customFormat="1" x14ac:dyDescent="0.15">
      <c r="A191" s="56"/>
      <c r="B191" s="56"/>
      <c r="C191" s="56"/>
      <c r="T191" s="299"/>
      <c r="U191" s="299"/>
      <c r="V191" s="299"/>
      <c r="W191" s="299"/>
      <c r="X191" s="299"/>
      <c r="Y191" s="299"/>
      <c r="Z191" s="299"/>
      <c r="AA191" s="299"/>
      <c r="AB191" s="299"/>
      <c r="AC191" s="299"/>
    </row>
    <row r="192" spans="1:32" s="160" customFormat="1" x14ac:dyDescent="0.15">
      <c r="A192" s="56"/>
      <c r="B192" s="56"/>
      <c r="C192" s="56"/>
      <c r="T192" s="299"/>
      <c r="U192" s="299"/>
      <c r="V192" s="299"/>
      <c r="W192" s="299"/>
      <c r="X192" s="299"/>
      <c r="Y192" s="299"/>
      <c r="Z192" s="299"/>
      <c r="AA192" s="299"/>
      <c r="AB192" s="299"/>
      <c r="AC192" s="299"/>
    </row>
    <row r="193" spans="1:29" s="160" customFormat="1" x14ac:dyDescent="0.15">
      <c r="A193" s="56"/>
      <c r="B193" s="56"/>
      <c r="C193" s="56"/>
      <c r="T193" s="299"/>
      <c r="U193" s="299"/>
      <c r="V193" s="299"/>
      <c r="W193" s="299"/>
      <c r="X193" s="299"/>
      <c r="Y193" s="299"/>
      <c r="Z193" s="299"/>
      <c r="AA193" s="299"/>
      <c r="AB193" s="299"/>
      <c r="AC193" s="299"/>
    </row>
    <row r="194" spans="1:29" s="160" customFormat="1" x14ac:dyDescent="0.15">
      <c r="A194" s="56"/>
      <c r="B194" s="56"/>
      <c r="C194" s="56"/>
      <c r="T194" s="299"/>
      <c r="U194" s="299"/>
      <c r="V194" s="299"/>
      <c r="W194" s="299"/>
      <c r="X194" s="299"/>
      <c r="Y194" s="299"/>
      <c r="Z194" s="299"/>
      <c r="AA194" s="299"/>
      <c r="AB194" s="299"/>
      <c r="AC194" s="299"/>
    </row>
    <row r="195" spans="1:29" s="160" customFormat="1" x14ac:dyDescent="0.15">
      <c r="A195" s="56"/>
      <c r="B195" s="56"/>
      <c r="C195" s="56"/>
      <c r="T195" s="299"/>
      <c r="U195" s="299"/>
      <c r="V195" s="299"/>
      <c r="W195" s="299"/>
      <c r="X195" s="299"/>
      <c r="Y195" s="299"/>
      <c r="Z195" s="299"/>
      <c r="AA195" s="299"/>
      <c r="AB195" s="299"/>
      <c r="AC195" s="299"/>
    </row>
    <row r="196" spans="1:29" s="160" customFormat="1" x14ac:dyDescent="0.15">
      <c r="A196" s="56"/>
      <c r="B196" s="56"/>
      <c r="C196" s="56"/>
      <c r="T196" s="299"/>
      <c r="U196" s="299"/>
      <c r="V196" s="299"/>
      <c r="W196" s="299"/>
      <c r="X196" s="299"/>
      <c r="Y196" s="299"/>
      <c r="Z196" s="299"/>
      <c r="AA196" s="299"/>
      <c r="AB196" s="299"/>
      <c r="AC196" s="299"/>
    </row>
    <row r="197" spans="1:29" s="160" customFormat="1" x14ac:dyDescent="0.15">
      <c r="A197" s="56"/>
      <c r="B197" s="56"/>
      <c r="C197" s="56"/>
      <c r="T197" s="299"/>
      <c r="U197" s="299"/>
      <c r="V197" s="299"/>
      <c r="W197" s="299"/>
      <c r="X197" s="299"/>
      <c r="Y197" s="299"/>
      <c r="Z197" s="299"/>
      <c r="AA197" s="299"/>
      <c r="AB197" s="299"/>
      <c r="AC197" s="299"/>
    </row>
    <row r="198" spans="1:29" s="160" customFormat="1" x14ac:dyDescent="0.15">
      <c r="A198" s="56"/>
      <c r="B198" s="56"/>
      <c r="C198" s="56"/>
      <c r="T198" s="299"/>
      <c r="U198" s="299"/>
      <c r="V198" s="299"/>
      <c r="W198" s="299"/>
      <c r="X198" s="299"/>
      <c r="Y198" s="299"/>
      <c r="Z198" s="299"/>
      <c r="AA198" s="299"/>
      <c r="AB198" s="299"/>
      <c r="AC198" s="299"/>
    </row>
    <row r="199" spans="1:29" s="160" customFormat="1" x14ac:dyDescent="0.15">
      <c r="A199" s="56"/>
      <c r="B199" s="56"/>
      <c r="C199" s="56"/>
      <c r="T199" s="299"/>
      <c r="U199" s="299"/>
      <c r="V199" s="299"/>
      <c r="W199" s="299"/>
      <c r="X199" s="299"/>
      <c r="Y199" s="299"/>
      <c r="Z199" s="299"/>
      <c r="AA199" s="299"/>
      <c r="AB199" s="299"/>
      <c r="AC199" s="299"/>
    </row>
    <row r="200" spans="1:29" s="160" customFormat="1" x14ac:dyDescent="0.15">
      <c r="A200" s="56"/>
      <c r="B200" s="56"/>
      <c r="C200" s="56"/>
      <c r="T200" s="299"/>
      <c r="U200" s="299"/>
      <c r="V200" s="299"/>
      <c r="W200" s="299"/>
      <c r="X200" s="299"/>
      <c r="Y200" s="299"/>
      <c r="Z200" s="299"/>
      <c r="AA200" s="299"/>
      <c r="AB200" s="299"/>
      <c r="AC200" s="299"/>
    </row>
    <row r="201" spans="1:29" s="160" customFormat="1" x14ac:dyDescent="0.15">
      <c r="A201" s="56"/>
      <c r="B201" s="56"/>
      <c r="C201" s="56"/>
      <c r="T201" s="299"/>
      <c r="U201" s="299"/>
      <c r="V201" s="299"/>
      <c r="W201" s="299"/>
      <c r="X201" s="299"/>
      <c r="Y201" s="299"/>
      <c r="Z201" s="299"/>
      <c r="AA201" s="299"/>
      <c r="AB201" s="299"/>
      <c r="AC201" s="299"/>
    </row>
    <row r="202" spans="1:29" s="160" customFormat="1" x14ac:dyDescent="0.15">
      <c r="A202" s="56"/>
      <c r="B202" s="56"/>
      <c r="C202" s="56"/>
      <c r="T202" s="299"/>
      <c r="U202" s="299"/>
      <c r="V202" s="299"/>
      <c r="W202" s="299"/>
      <c r="X202" s="299"/>
      <c r="Y202" s="299"/>
      <c r="Z202" s="299"/>
      <c r="AA202" s="299"/>
      <c r="AB202" s="299"/>
      <c r="AC202" s="299"/>
    </row>
    <row r="203" spans="1:29" s="160" customFormat="1" x14ac:dyDescent="0.15">
      <c r="A203" s="56"/>
      <c r="B203" s="56"/>
      <c r="C203" s="56"/>
      <c r="T203" s="299"/>
      <c r="U203" s="299"/>
      <c r="V203" s="299"/>
      <c r="W203" s="299"/>
      <c r="X203" s="299"/>
      <c r="Y203" s="299"/>
      <c r="Z203" s="299"/>
      <c r="AA203" s="299"/>
      <c r="AB203" s="299"/>
      <c r="AC203" s="299"/>
    </row>
    <row r="204" spans="1:29" s="160" customFormat="1" x14ac:dyDescent="0.15">
      <c r="A204" s="56"/>
      <c r="B204" s="56"/>
      <c r="C204" s="56"/>
      <c r="T204" s="299"/>
      <c r="U204" s="299"/>
      <c r="V204" s="299"/>
      <c r="W204" s="299"/>
      <c r="X204" s="299"/>
      <c r="Y204" s="299"/>
      <c r="Z204" s="299"/>
      <c r="AA204" s="299"/>
      <c r="AB204" s="299"/>
      <c r="AC204" s="299"/>
    </row>
    <row r="205" spans="1:29" s="160" customFormat="1" x14ac:dyDescent="0.15">
      <c r="A205" s="56"/>
      <c r="B205" s="56"/>
      <c r="C205" s="56"/>
      <c r="T205" s="299"/>
      <c r="U205" s="299"/>
      <c r="V205" s="299"/>
      <c r="W205" s="299"/>
      <c r="X205" s="299"/>
      <c r="Y205" s="299"/>
      <c r="Z205" s="299"/>
      <c r="AA205" s="299"/>
      <c r="AB205" s="299"/>
      <c r="AC205" s="299"/>
    </row>
    <row r="206" spans="1:29" s="160" customFormat="1" x14ac:dyDescent="0.15">
      <c r="A206" s="56"/>
      <c r="B206" s="56"/>
      <c r="C206" s="56"/>
      <c r="T206" s="299"/>
      <c r="U206" s="299"/>
      <c r="V206" s="299"/>
      <c r="W206" s="299"/>
      <c r="X206" s="299"/>
      <c r="Y206" s="299"/>
      <c r="Z206" s="299"/>
      <c r="AA206" s="299"/>
      <c r="AB206" s="299"/>
      <c r="AC206" s="299"/>
    </row>
    <row r="207" spans="1:29" s="160" customFormat="1" x14ac:dyDescent="0.15">
      <c r="A207" s="56"/>
      <c r="B207" s="56"/>
      <c r="C207" s="56"/>
      <c r="T207" s="299"/>
      <c r="U207" s="299"/>
      <c r="V207" s="299"/>
      <c r="W207" s="299"/>
      <c r="X207" s="299"/>
      <c r="Y207" s="299"/>
      <c r="Z207" s="299"/>
      <c r="AA207" s="299"/>
      <c r="AB207" s="299"/>
      <c r="AC207" s="299"/>
    </row>
    <row r="208" spans="1:29" s="160" customFormat="1" x14ac:dyDescent="0.15">
      <c r="A208" s="56"/>
      <c r="B208" s="56"/>
      <c r="C208" s="56"/>
      <c r="T208" s="299"/>
      <c r="U208" s="299"/>
      <c r="V208" s="299"/>
      <c r="W208" s="299"/>
      <c r="X208" s="299"/>
      <c r="Y208" s="299"/>
      <c r="Z208" s="299"/>
      <c r="AA208" s="299"/>
      <c r="AB208" s="299"/>
      <c r="AC208" s="299"/>
    </row>
    <row r="209" spans="1:40" s="160" customFormat="1" x14ac:dyDescent="0.15">
      <c r="A209" s="56"/>
      <c r="B209" s="56"/>
      <c r="C209" s="56"/>
      <c r="T209" s="299"/>
      <c r="U209" s="299"/>
      <c r="V209" s="299"/>
      <c r="W209" s="299"/>
      <c r="X209" s="299"/>
      <c r="Y209" s="299"/>
      <c r="Z209" s="299"/>
      <c r="AA209" s="299"/>
      <c r="AB209" s="299"/>
      <c r="AC209" s="299"/>
    </row>
    <row r="210" spans="1:40" x14ac:dyDescent="0.15">
      <c r="D210" s="160"/>
      <c r="E210" s="160"/>
      <c r="F210" s="160"/>
      <c r="G210" s="160"/>
      <c r="H210" s="160"/>
      <c r="I210" s="160"/>
      <c r="J210" s="160"/>
      <c r="K210" s="160"/>
      <c r="L210" s="160"/>
      <c r="M210" s="160"/>
      <c r="N210" s="160"/>
      <c r="O210" s="160"/>
      <c r="P210" s="160"/>
      <c r="Q210" s="160"/>
      <c r="R210" s="160"/>
      <c r="S210" s="160"/>
      <c r="T210" s="299"/>
      <c r="U210" s="299"/>
      <c r="V210" s="299"/>
      <c r="W210" s="299"/>
      <c r="X210" s="299"/>
      <c r="Y210" s="299"/>
      <c r="Z210" s="299"/>
      <c r="AA210" s="299"/>
      <c r="AB210" s="299"/>
      <c r="AC210" s="299"/>
      <c r="AD210" s="160"/>
      <c r="AE210" s="160"/>
      <c r="AF210" s="160"/>
      <c r="AG210" s="160"/>
      <c r="AH210" s="160"/>
      <c r="AI210" s="160"/>
      <c r="AJ210" s="160"/>
      <c r="AK210" s="160"/>
      <c r="AL210" s="160"/>
      <c r="AM210" s="160"/>
      <c r="AN210" s="160"/>
    </row>
    <row r="211" spans="1:40" x14ac:dyDescent="0.15">
      <c r="D211" s="160"/>
      <c r="E211" s="160"/>
      <c r="F211" s="160"/>
      <c r="G211" s="160"/>
      <c r="H211" s="160"/>
      <c r="I211" s="160"/>
      <c r="J211" s="160"/>
      <c r="K211" s="160"/>
      <c r="L211" s="160"/>
      <c r="M211" s="160"/>
      <c r="N211" s="160"/>
      <c r="O211" s="160"/>
      <c r="P211" s="160"/>
      <c r="Q211" s="160"/>
      <c r="R211" s="160"/>
      <c r="S211" s="160"/>
      <c r="T211" s="299"/>
      <c r="U211" s="299"/>
      <c r="V211" s="299"/>
      <c r="W211" s="299"/>
      <c r="X211" s="299"/>
      <c r="Y211" s="299"/>
      <c r="Z211" s="299"/>
      <c r="AA211" s="299"/>
      <c r="AB211" s="299"/>
      <c r="AC211" s="299"/>
      <c r="AD211" s="160"/>
      <c r="AE211" s="160"/>
      <c r="AF211" s="160"/>
      <c r="AG211" s="160"/>
      <c r="AH211" s="160"/>
      <c r="AI211" s="160"/>
      <c r="AJ211" s="160"/>
      <c r="AK211" s="160"/>
      <c r="AL211" s="160"/>
      <c r="AM211" s="160"/>
      <c r="AN211" s="160"/>
    </row>
    <row r="212" spans="1:40" x14ac:dyDescent="0.15">
      <c r="D212" s="160"/>
      <c r="E212" s="160"/>
      <c r="F212" s="160"/>
      <c r="G212" s="160"/>
      <c r="H212" s="160"/>
      <c r="I212" s="160"/>
      <c r="J212" s="160"/>
      <c r="K212" s="160"/>
      <c r="L212" s="160"/>
      <c r="M212" s="160"/>
      <c r="N212" s="160"/>
      <c r="O212" s="160"/>
      <c r="P212" s="160"/>
      <c r="Q212" s="160"/>
      <c r="R212" s="160"/>
      <c r="S212" s="160"/>
      <c r="T212" s="299"/>
      <c r="U212" s="299"/>
      <c r="V212" s="299"/>
      <c r="W212" s="299"/>
      <c r="X212" s="299"/>
      <c r="Y212" s="299"/>
      <c r="Z212" s="299"/>
      <c r="AA212" s="299"/>
      <c r="AB212" s="299"/>
      <c r="AC212" s="299"/>
      <c r="AD212" s="160"/>
      <c r="AE212" s="160"/>
      <c r="AF212" s="160"/>
      <c r="AG212" s="160"/>
      <c r="AH212" s="160"/>
      <c r="AI212" s="160"/>
      <c r="AJ212" s="160"/>
      <c r="AK212" s="160"/>
      <c r="AL212" s="160"/>
      <c r="AM212" s="160"/>
      <c r="AN212" s="160"/>
    </row>
  </sheetData>
  <pageMargins left="0.75" right="0.75" top="1" bottom="1" header="0.5" footer="0.5"/>
  <pageSetup scale="57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/>
  </sheetPr>
  <dimension ref="A2:S182"/>
  <sheetViews>
    <sheetView showGridLines="0" workbookViewId="0">
      <selection activeCell="P12" sqref="P12"/>
    </sheetView>
  </sheetViews>
  <sheetFormatPr baseColWidth="10" defaultColWidth="11.5" defaultRowHeight="13" outlineLevelCol="1" x14ac:dyDescent="0.15"/>
  <cols>
    <col min="1" max="1" width="3.33203125" style="1" customWidth="1"/>
    <col min="2" max="3" width="3.33203125" style="1" hidden="1" customWidth="1" outlineLevel="1"/>
    <col min="4" max="4" width="24.6640625" style="17" customWidth="1" collapsed="1"/>
    <col min="5" max="5" width="9.33203125" style="17" bestFit="1" customWidth="1"/>
    <col min="6" max="6" width="9.5" style="17" customWidth="1"/>
    <col min="7" max="8" width="9.33203125" style="17" customWidth="1"/>
    <col min="9" max="15" width="9.33203125" style="17" bestFit="1" customWidth="1"/>
    <col min="16" max="16" width="10.1640625" style="17" bestFit="1" customWidth="1"/>
    <col min="17" max="18" width="11.5" style="39" customWidth="1"/>
    <col min="19" max="16384" width="11.5" style="17"/>
  </cols>
  <sheetData>
    <row r="2" spans="4:19" s="1" customFormat="1" ht="11.25" customHeight="1" x14ac:dyDescent="0.15">
      <c r="Q2" s="36"/>
      <c r="R2" s="36"/>
    </row>
    <row r="3" spans="4:19" s="1" customFormat="1" ht="20" customHeight="1" x14ac:dyDescent="0.25">
      <c r="D3" s="4" t="s">
        <v>0</v>
      </c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7"/>
      <c r="Q3" s="8"/>
      <c r="R3" s="8"/>
    </row>
    <row r="4" spans="4:19" s="1" customFormat="1" ht="3" customHeight="1" x14ac:dyDescent="0.2"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11"/>
      <c r="Q4" s="12"/>
      <c r="R4" s="12"/>
    </row>
    <row r="5" spans="4:19" s="1" customFormat="1" ht="2" customHeight="1" x14ac:dyDescent="0.15"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14"/>
    </row>
    <row r="6" spans="4:19" s="1" customFormat="1" ht="5.25" customHeight="1" x14ac:dyDescent="0.15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4"/>
      <c r="R6" s="14"/>
    </row>
    <row r="7" spans="4:19" x14ac:dyDescent="0.15">
      <c r="Q7" s="18"/>
      <c r="R7" s="18"/>
    </row>
    <row r="8" spans="4:19" ht="18" x14ac:dyDescent="0.2">
      <c r="D8" s="16" t="s">
        <v>38</v>
      </c>
    </row>
    <row r="9" spans="4:19" x14ac:dyDescent="0.15">
      <c r="D9" s="19" t="s">
        <v>1</v>
      </c>
      <c r="F9" s="20"/>
      <c r="G9" s="22" t="s">
        <v>2</v>
      </c>
      <c r="H9" s="22"/>
      <c r="I9" s="22"/>
      <c r="J9" s="22"/>
      <c r="K9" s="22"/>
      <c r="L9" s="22"/>
      <c r="M9" s="22"/>
      <c r="N9" s="22"/>
      <c r="O9" s="22"/>
      <c r="P9" s="22"/>
    </row>
    <row r="10" spans="4:19" x14ac:dyDescent="0.15">
      <c r="F10" s="41">
        <v>0</v>
      </c>
      <c r="G10" s="25">
        <v>1</v>
      </c>
      <c r="H10" s="25">
        <v>2</v>
      </c>
      <c r="I10" s="25">
        <v>3</v>
      </c>
      <c r="J10" s="25">
        <v>4</v>
      </c>
      <c r="K10" s="25">
        <v>5</v>
      </c>
      <c r="L10" s="25">
        <v>6</v>
      </c>
      <c r="M10" s="25">
        <v>7</v>
      </c>
      <c r="N10" s="25">
        <v>8</v>
      </c>
      <c r="O10" s="25">
        <v>9</v>
      </c>
      <c r="P10" s="25">
        <v>10</v>
      </c>
    </row>
    <row r="11" spans="4:19" ht="12" customHeight="1" x14ac:dyDescent="0.15">
      <c r="D11" s="17" t="s">
        <v>12</v>
      </c>
      <c r="F11" s="31"/>
      <c r="G11" s="30"/>
      <c r="H11" s="30"/>
      <c r="I11" s="30"/>
      <c r="J11" s="30"/>
      <c r="K11" s="30"/>
      <c r="L11" s="30"/>
      <c r="M11" s="30"/>
      <c r="N11" s="30"/>
      <c r="O11" s="30"/>
      <c r="P11" s="30"/>
      <c r="R11" s="86" t="s">
        <v>39</v>
      </c>
      <c r="S11" s="71"/>
    </row>
    <row r="12" spans="4:19" ht="12" customHeight="1" x14ac:dyDescent="0.15">
      <c r="D12" s="17" t="s">
        <v>40</v>
      </c>
      <c r="G12" s="32">
        <v>529.66079999999999</v>
      </c>
      <c r="H12" s="32">
        <v>818.32593599999984</v>
      </c>
      <c r="I12" s="32">
        <v>1229.1937497000001</v>
      </c>
      <c r="J12" s="32">
        <v>1483.1100585665997</v>
      </c>
      <c r="K12" s="32">
        <v>1751.1550715904662</v>
      </c>
      <c r="L12" s="32">
        <v>1900.8606522002447</v>
      </c>
      <c r="M12" s="32">
        <v>2063.3645059208993</v>
      </c>
      <c r="N12" s="32">
        <v>2239.7607522498697</v>
      </c>
      <c r="O12" s="32">
        <v>2431.2370465440258</v>
      </c>
      <c r="P12" s="32">
        <v>2639.0825763646972</v>
      </c>
      <c r="R12" s="87">
        <v>0.20984207519668763</v>
      </c>
      <c r="S12" s="71"/>
    </row>
    <row r="13" spans="4:19" ht="12" customHeight="1" x14ac:dyDescent="0.15">
      <c r="D13" s="17" t="s">
        <v>42</v>
      </c>
      <c r="G13" s="44">
        <v>447.29457120000001</v>
      </c>
      <c r="H13" s="44">
        <v>688.6854725039999</v>
      </c>
      <c r="I13" s="44">
        <v>1000.2555264145501</v>
      </c>
      <c r="J13" s="44">
        <v>1196.9019794424696</v>
      </c>
      <c r="K13" s="44">
        <v>1395.2172376782921</v>
      </c>
      <c r="L13" s="44">
        <v>1510.2142591595521</v>
      </c>
      <c r="M13" s="44">
        <v>1634.8117772271289</v>
      </c>
      <c r="N13" s="44">
        <v>1769.8181138939995</v>
      </c>
      <c r="O13" s="44">
        <v>1916.1100251641906</v>
      </c>
      <c r="P13" s="44">
        <v>2074.6385153792253</v>
      </c>
    </row>
    <row r="14" spans="4:19" ht="12" customHeight="1" x14ac:dyDescent="0.15">
      <c r="D14" s="17" t="s">
        <v>43</v>
      </c>
      <c r="G14" s="32">
        <v>82.366228799999988</v>
      </c>
      <c r="H14" s="51">
        <v>129.64046349599994</v>
      </c>
      <c r="I14" s="32">
        <v>228.93822328545002</v>
      </c>
      <c r="J14" s="32">
        <v>286.20807912413011</v>
      </c>
      <c r="K14" s="32">
        <v>355.93783391217403</v>
      </c>
      <c r="L14" s="32">
        <v>390.6463930406926</v>
      </c>
      <c r="M14" s="32">
        <v>428.5527286937704</v>
      </c>
      <c r="N14" s="32">
        <v>469.94263835587026</v>
      </c>
      <c r="O14" s="32">
        <v>515.12702137983524</v>
      </c>
      <c r="P14" s="32">
        <v>564.44406098547188</v>
      </c>
    </row>
    <row r="15" spans="4:19" ht="7.5" customHeight="1" x14ac:dyDescent="0.15"/>
    <row r="16" spans="4:19" ht="12" customHeight="1" x14ac:dyDescent="0.15">
      <c r="D16" s="17" t="s">
        <v>44</v>
      </c>
      <c r="H16" s="71"/>
    </row>
    <row r="17" spans="4:18" ht="12" customHeight="1" x14ac:dyDescent="0.15">
      <c r="D17" s="39" t="s">
        <v>45</v>
      </c>
      <c r="G17" s="51">
        <v>36.033672976970756</v>
      </c>
      <c r="H17" s="51">
        <v>56.249716749419811</v>
      </c>
      <c r="I17" s="51">
        <v>84.117542034024353</v>
      </c>
      <c r="J17" s="51">
        <v>101.05545085990994</v>
      </c>
      <c r="K17" s="51">
        <v>118.81685102751808</v>
      </c>
      <c r="L17" s="51">
        <v>128.44486171718461</v>
      </c>
      <c r="M17" s="51">
        <v>138.86743619344742</v>
      </c>
      <c r="N17" s="51">
        <v>150.15096433970808</v>
      </c>
      <c r="O17" s="51">
        <v>162.36742887789541</v>
      </c>
      <c r="P17" s="51">
        <v>175.59487903698869</v>
      </c>
      <c r="R17" s="88"/>
    </row>
    <row r="18" spans="4:18" ht="12" customHeight="1" x14ac:dyDescent="0.15">
      <c r="D18" s="39" t="s">
        <v>46</v>
      </c>
      <c r="G18" s="73">
        <v>36.699999999999996</v>
      </c>
      <c r="H18" s="73">
        <v>45.617376623387706</v>
      </c>
      <c r="I18" s="73">
        <v>56.701499999999982</v>
      </c>
      <c r="J18" s="73">
        <v>49.365299395744955</v>
      </c>
      <c r="K18" s="73">
        <v>58.287174237756439</v>
      </c>
      <c r="L18" s="73">
        <v>63.270122580213304</v>
      </c>
      <c r="M18" s="73">
        <v>68.679061280039562</v>
      </c>
      <c r="N18" s="73">
        <v>74.550408090761877</v>
      </c>
      <c r="O18" s="73">
        <v>80.923694105795889</v>
      </c>
      <c r="P18" s="73">
        <v>87.841829916688539</v>
      </c>
      <c r="R18" s="88"/>
    </row>
    <row r="19" spans="4:18" ht="12" customHeight="1" x14ac:dyDescent="0.15">
      <c r="D19" s="17" t="s">
        <v>48</v>
      </c>
      <c r="G19" s="32">
        <v>72.733672976970752</v>
      </c>
      <c r="H19" s="32">
        <v>101.86709337280752</v>
      </c>
      <c r="I19" s="32">
        <v>140.81904203402433</v>
      </c>
      <c r="J19" s="32">
        <v>150.42075025565489</v>
      </c>
      <c r="K19" s="32">
        <v>177.10402526527452</v>
      </c>
      <c r="L19" s="32">
        <v>191.7149842973979</v>
      </c>
      <c r="M19" s="32">
        <v>207.54649747348697</v>
      </c>
      <c r="N19" s="32">
        <v>224.70137243046997</v>
      </c>
      <c r="O19" s="32">
        <v>243.29112298369131</v>
      </c>
      <c r="P19" s="32">
        <v>263.43670895367723</v>
      </c>
      <c r="R19" s="17"/>
    </row>
    <row r="20" spans="4:18" ht="7.5" customHeight="1" x14ac:dyDescent="0.15"/>
    <row r="21" spans="4:18" ht="12" customHeight="1" x14ac:dyDescent="0.15">
      <c r="D21" s="17" t="s">
        <v>22</v>
      </c>
      <c r="G21" s="32">
        <v>9.6325558230292359</v>
      </c>
      <c r="H21" s="32">
        <v>27.773370123192421</v>
      </c>
      <c r="I21" s="32">
        <v>88.119181251425687</v>
      </c>
      <c r="J21" s="32">
        <v>135.78732886847521</v>
      </c>
      <c r="K21" s="32">
        <v>178.83380864689951</v>
      </c>
      <c r="L21" s="32">
        <v>198.9314087432947</v>
      </c>
      <c r="M21" s="32">
        <v>221.00623122028344</v>
      </c>
      <c r="N21" s="32">
        <v>245.24126592540028</v>
      </c>
      <c r="O21" s="32">
        <v>271.83589839614393</v>
      </c>
      <c r="P21" s="32">
        <v>301.00735203179465</v>
      </c>
    </row>
    <row r="22" spans="4:18" ht="12" customHeight="1" x14ac:dyDescent="0.15">
      <c r="D22" s="17" t="s">
        <v>18</v>
      </c>
      <c r="G22" s="74">
        <v>1.8186272842976553E-2</v>
      </c>
      <c r="H22" s="75">
        <v>3.3939251954972167E-2</v>
      </c>
      <c r="I22" s="75">
        <v>7.1688601795227361E-2</v>
      </c>
      <c r="J22" s="75">
        <v>9.1555800652927483E-2</v>
      </c>
      <c r="K22" s="75">
        <v>0.1021233422146194</v>
      </c>
      <c r="L22" s="75">
        <v>0.10465333611542317</v>
      </c>
      <c r="M22" s="75">
        <v>0.10710964087348505</v>
      </c>
      <c r="N22" s="75">
        <v>0.10949440277451605</v>
      </c>
      <c r="O22" s="75">
        <v>0.11180970559105102</v>
      </c>
      <c r="P22" s="75">
        <v>0.11405757240322069</v>
      </c>
    </row>
    <row r="23" spans="4:18" ht="7.5" customHeight="1" x14ac:dyDescent="0.15"/>
    <row r="24" spans="4:18" ht="12" customHeight="1" x14ac:dyDescent="0.15">
      <c r="D24" s="17" t="s">
        <v>49</v>
      </c>
      <c r="G24" s="44">
        <v>10.667428571428571</v>
      </c>
      <c r="H24" s="44">
        <v>13.524571428571429</v>
      </c>
      <c r="I24" s="44">
        <v>14.953142857142856</v>
      </c>
      <c r="J24" s="44">
        <v>16.381714285714285</v>
      </c>
      <c r="K24" s="44">
        <v>17.810285714285715</v>
      </c>
      <c r="L24" s="44">
        <v>32.095999999999997</v>
      </c>
      <c r="M24" s="44">
        <v>33.524571428571427</v>
      </c>
      <c r="N24" s="44">
        <v>34.953142857142858</v>
      </c>
      <c r="O24" s="44">
        <v>36.381714285714288</v>
      </c>
      <c r="P24" s="44">
        <v>37.810285714285719</v>
      </c>
    </row>
    <row r="25" spans="4:18" ht="12" customHeight="1" x14ac:dyDescent="0.15">
      <c r="D25" s="17" t="s">
        <v>24</v>
      </c>
      <c r="G25" s="32">
        <v>-1.0348727483993354</v>
      </c>
      <c r="H25" s="32">
        <v>14.248798694620993</v>
      </c>
      <c r="I25" s="32">
        <v>73.166038394282836</v>
      </c>
      <c r="J25" s="32">
        <v>119.40561458276093</v>
      </c>
      <c r="K25" s="32">
        <v>161.02352293261379</v>
      </c>
      <c r="L25" s="32">
        <v>166.83540874329469</v>
      </c>
      <c r="M25" s="32">
        <v>187.48165979171202</v>
      </c>
      <c r="N25" s="32">
        <v>210.28812306825742</v>
      </c>
      <c r="O25" s="32">
        <v>235.45418411042965</v>
      </c>
      <c r="P25" s="32">
        <v>263.19706631750893</v>
      </c>
    </row>
    <row r="26" spans="4:18" ht="12" customHeight="1" x14ac:dyDescent="0.15">
      <c r="D26" s="17" t="s">
        <v>18</v>
      </c>
      <c r="G26" s="74">
        <v>-1.9538405492710341E-3</v>
      </c>
      <c r="H26" s="75">
        <v>1.7412131362070132E-2</v>
      </c>
      <c r="I26" s="75">
        <v>5.9523601069513987E-2</v>
      </c>
      <c r="J26" s="75">
        <v>8.0510285729006786E-2</v>
      </c>
      <c r="K26" s="75">
        <v>9.1952749099693407E-2</v>
      </c>
      <c r="L26" s="75">
        <v>8.776835300903453E-2</v>
      </c>
      <c r="M26" s="75">
        <v>9.0862113433533717E-2</v>
      </c>
      <c r="N26" s="75">
        <v>9.3888654338201163E-2</v>
      </c>
      <c r="O26" s="75">
        <v>9.6845424614241102E-2</v>
      </c>
      <c r="P26" s="75">
        <v>9.9730515700671846E-2</v>
      </c>
    </row>
    <row r="27" spans="4:18" ht="7.5" customHeight="1" x14ac:dyDescent="0.15"/>
    <row r="28" spans="4:18" ht="12" customHeight="1" x14ac:dyDescent="0.15">
      <c r="D28" s="17" t="s">
        <v>50</v>
      </c>
      <c r="E28" s="76">
        <v>0.35</v>
      </c>
      <c r="G28" s="44">
        <v>0</v>
      </c>
      <c r="H28" s="44">
        <v>4.9870795431173471</v>
      </c>
      <c r="I28" s="44">
        <v>25.608113437998991</v>
      </c>
      <c r="J28" s="44">
        <v>41.791965103966326</v>
      </c>
      <c r="K28" s="44">
        <v>56.358233026414823</v>
      </c>
      <c r="L28" s="44">
        <v>58.39239306015314</v>
      </c>
      <c r="M28" s="44">
        <v>65.618580927099202</v>
      </c>
      <c r="N28" s="44">
        <v>73.60084307389009</v>
      </c>
      <c r="O28" s="44">
        <v>82.408964438650372</v>
      </c>
      <c r="P28" s="44">
        <v>92.118973211128122</v>
      </c>
    </row>
    <row r="29" spans="4:18" ht="12" customHeight="1" x14ac:dyDescent="0.15">
      <c r="D29" s="17" t="s">
        <v>26</v>
      </c>
      <c r="G29" s="32">
        <v>-1.0348727483993354</v>
      </c>
      <c r="H29" s="32">
        <v>9.2617191515036446</v>
      </c>
      <c r="I29" s="32">
        <v>47.557924956283841</v>
      </c>
      <c r="J29" s="32">
        <v>77.613649478794599</v>
      </c>
      <c r="K29" s="32">
        <v>104.66528990619896</v>
      </c>
      <c r="L29" s="32">
        <v>108.44301568314155</v>
      </c>
      <c r="M29" s="32">
        <v>121.86307886461282</v>
      </c>
      <c r="N29" s="32">
        <v>136.68727999436732</v>
      </c>
      <c r="O29" s="32">
        <v>153.04521967177928</v>
      </c>
      <c r="P29" s="32">
        <v>171.07809310638081</v>
      </c>
    </row>
    <row r="30" spans="4:18" ht="7.5" customHeight="1" x14ac:dyDescent="0.15"/>
    <row r="31" spans="4:18" ht="12" customHeight="1" x14ac:dyDescent="0.15">
      <c r="D31" s="77" t="s">
        <v>51</v>
      </c>
    </row>
    <row r="32" spans="4:18" ht="12" customHeight="1" x14ac:dyDescent="0.15">
      <c r="D32" s="17" t="s">
        <v>17</v>
      </c>
      <c r="G32" s="32">
        <v>9.6325558230292359</v>
      </c>
      <c r="H32" s="32">
        <v>27.773370123192421</v>
      </c>
      <c r="I32" s="32">
        <v>88.119181251425687</v>
      </c>
      <c r="J32" s="32">
        <v>135.78732886847521</v>
      </c>
      <c r="K32" s="32">
        <v>178.83380864689951</v>
      </c>
      <c r="L32" s="32">
        <v>198.9314087432947</v>
      </c>
      <c r="M32" s="32">
        <v>221.00623122028344</v>
      </c>
      <c r="N32" s="32">
        <v>245.24126592540028</v>
      </c>
      <c r="O32" s="32">
        <v>271.83589839614393</v>
      </c>
      <c r="P32" s="32">
        <v>301.00735203179465</v>
      </c>
    </row>
    <row r="33" spans="4:17" ht="12" customHeight="1" x14ac:dyDescent="0.15">
      <c r="D33" s="17" t="s">
        <v>18</v>
      </c>
      <c r="G33" s="35">
        <v>1.8186272842976553E-2</v>
      </c>
      <c r="H33" s="35">
        <v>3.3939251954972167E-2</v>
      </c>
      <c r="I33" s="35">
        <v>7.1688601795227361E-2</v>
      </c>
      <c r="J33" s="35">
        <v>9.1555800652927483E-2</v>
      </c>
      <c r="K33" s="35">
        <v>0.1021233422146194</v>
      </c>
      <c r="L33" s="35">
        <v>0.10465333611542317</v>
      </c>
      <c r="M33" s="35">
        <v>0.10710964087348505</v>
      </c>
      <c r="N33" s="35">
        <v>0.10949440277451605</v>
      </c>
      <c r="O33" s="35">
        <v>0.11180970559105102</v>
      </c>
      <c r="P33" s="35">
        <v>0.11405757240322069</v>
      </c>
    </row>
    <row r="34" spans="4:17" ht="7.5" customHeight="1" x14ac:dyDescent="0.15"/>
    <row r="35" spans="4:17" ht="18" x14ac:dyDescent="0.2">
      <c r="D35" s="16" t="s">
        <v>52</v>
      </c>
    </row>
    <row r="36" spans="4:17" ht="11.25" customHeight="1" x14ac:dyDescent="0.15">
      <c r="D36" s="19" t="s">
        <v>1</v>
      </c>
      <c r="F36" s="40"/>
      <c r="G36" s="22" t="s">
        <v>2</v>
      </c>
      <c r="H36" s="22"/>
      <c r="I36" s="22"/>
      <c r="J36" s="22"/>
      <c r="K36" s="22"/>
      <c r="L36" s="22"/>
      <c r="M36" s="22"/>
      <c r="N36" s="22"/>
      <c r="O36" s="22"/>
      <c r="P36" s="22"/>
    </row>
    <row r="37" spans="4:17" ht="11.25" customHeight="1" x14ac:dyDescent="0.15">
      <c r="F37" s="41">
        <v>0</v>
      </c>
      <c r="G37" s="41">
        <v>1</v>
      </c>
      <c r="H37" s="41">
        <v>2</v>
      </c>
      <c r="I37" s="41">
        <v>3</v>
      </c>
      <c r="J37" s="41">
        <v>4</v>
      </c>
      <c r="K37" s="41">
        <v>5</v>
      </c>
      <c r="L37" s="41">
        <v>6</v>
      </c>
      <c r="M37" s="41">
        <v>7</v>
      </c>
      <c r="N37" s="41">
        <v>8</v>
      </c>
      <c r="O37" s="41">
        <v>9</v>
      </c>
      <c r="P37" s="41">
        <v>10</v>
      </c>
    </row>
    <row r="38" spans="4:17" ht="11.25" customHeight="1" x14ac:dyDescent="0.15">
      <c r="D38" s="17" t="s">
        <v>53</v>
      </c>
    </row>
    <row r="39" spans="4:17" ht="11.25" customHeight="1" x14ac:dyDescent="0.15">
      <c r="D39" s="17" t="s">
        <v>54</v>
      </c>
      <c r="G39" s="32">
        <v>-1.0348727483993354</v>
      </c>
      <c r="H39" s="32">
        <v>9.2617191515036446</v>
      </c>
      <c r="I39" s="32">
        <v>47.557924956283841</v>
      </c>
      <c r="J39" s="32">
        <v>77.613649478794599</v>
      </c>
      <c r="K39" s="32">
        <v>104.66528990619896</v>
      </c>
      <c r="L39" s="32">
        <v>108.44301568314155</v>
      </c>
      <c r="M39" s="32">
        <v>121.86307886461282</v>
      </c>
      <c r="N39" s="32">
        <v>136.68727999436732</v>
      </c>
      <c r="O39" s="32">
        <v>153.04521967177928</v>
      </c>
      <c r="P39" s="32">
        <v>171.07809310638081</v>
      </c>
    </row>
    <row r="40" spans="4:17" ht="11.25" customHeight="1" x14ac:dyDescent="0.15">
      <c r="D40" s="17" t="s">
        <v>55</v>
      </c>
      <c r="G40" s="32">
        <v>10.667428571428571</v>
      </c>
      <c r="H40" s="32">
        <v>13.524571428571429</v>
      </c>
      <c r="I40" s="32">
        <v>14.953142857142856</v>
      </c>
      <c r="J40" s="32">
        <v>16.381714285714285</v>
      </c>
      <c r="K40" s="32">
        <v>17.810285714285715</v>
      </c>
      <c r="L40" s="32">
        <v>32.095999999999997</v>
      </c>
      <c r="M40" s="32">
        <v>33.524571428571427</v>
      </c>
      <c r="N40" s="32">
        <v>34.953142857142858</v>
      </c>
      <c r="O40" s="32">
        <v>36.381714285714288</v>
      </c>
      <c r="P40" s="32">
        <v>37.810285714285719</v>
      </c>
    </row>
    <row r="41" spans="4:17" ht="11.25" customHeight="1" x14ac:dyDescent="0.15">
      <c r="D41" s="17" t="s">
        <v>56</v>
      </c>
      <c r="G41" s="51">
        <v>10</v>
      </c>
      <c r="H41" s="51">
        <v>10</v>
      </c>
      <c r="I41" s="51">
        <v>10</v>
      </c>
      <c r="J41" s="51">
        <v>10</v>
      </c>
      <c r="K41" s="51">
        <v>10</v>
      </c>
      <c r="L41" s="51">
        <v>100</v>
      </c>
      <c r="M41" s="51">
        <v>10</v>
      </c>
      <c r="N41" s="51">
        <v>10</v>
      </c>
      <c r="O41" s="51">
        <v>10</v>
      </c>
      <c r="P41" s="51">
        <v>10</v>
      </c>
      <c r="Q41" s="88"/>
    </row>
    <row r="42" spans="4:17" ht="11.25" customHeight="1" x14ac:dyDescent="0.15">
      <c r="D42" s="17" t="s">
        <v>57</v>
      </c>
      <c r="F42" s="71"/>
      <c r="G42" s="73">
        <v>-11.469593338196731</v>
      </c>
      <c r="H42" s="73">
        <v>-6.1574269370279779</v>
      </c>
      <c r="I42" s="73">
        <v>-7.5089635611272456</v>
      </c>
      <c r="J42" s="73">
        <v>-4.8011493841090385</v>
      </c>
      <c r="K42" s="73">
        <v>-4.7046985551030218</v>
      </c>
      <c r="L42" s="73">
        <v>-2.7937156493579209</v>
      </c>
      <c r="M42" s="73">
        <v>-3.0235093040836603</v>
      </c>
      <c r="N42" s="73">
        <v>-3.2724609134350828</v>
      </c>
      <c r="O42" s="73">
        <v>-3.5421820463673157</v>
      </c>
      <c r="P42" s="73">
        <v>-3.834420630759297</v>
      </c>
      <c r="Q42" s="88"/>
    </row>
    <row r="43" spans="4:17" ht="11.25" customHeight="1" x14ac:dyDescent="0.15">
      <c r="D43" s="17" t="s">
        <v>53</v>
      </c>
      <c r="F43" s="71"/>
      <c r="G43" s="32">
        <v>11.102149161225967</v>
      </c>
      <c r="H43" s="32">
        <v>18.943717517103053</v>
      </c>
      <c r="I43" s="32">
        <v>60.020031374553945</v>
      </c>
      <c r="J43" s="32">
        <v>88.796513148617919</v>
      </c>
      <c r="K43" s="32">
        <v>117.1802741755877</v>
      </c>
      <c r="L43" s="32">
        <v>43.332731332499463</v>
      </c>
      <c r="M43" s="32">
        <v>148.4111595972679</v>
      </c>
      <c r="N43" s="32">
        <v>164.91288376494526</v>
      </c>
      <c r="O43" s="32">
        <v>182.96911600386088</v>
      </c>
      <c r="P43" s="32">
        <v>202.72279945142583</v>
      </c>
      <c r="Q43" s="88"/>
    </row>
    <row r="44" spans="4:17" ht="12" customHeight="1" x14ac:dyDescent="0.15">
      <c r="F44" s="71"/>
    </row>
    <row r="45" spans="4:17" ht="11.25" customHeight="1" x14ac:dyDescent="0.15">
      <c r="D45" s="17" t="s">
        <v>58</v>
      </c>
    </row>
    <row r="46" spans="4:17" ht="11.25" customHeight="1" x14ac:dyDescent="0.15">
      <c r="D46" s="17" t="s">
        <v>59</v>
      </c>
      <c r="F46" s="32">
        <v>-74.671999999999997</v>
      </c>
      <c r="G46" s="32"/>
      <c r="H46" s="32"/>
      <c r="I46" s="32"/>
      <c r="J46" s="32"/>
      <c r="K46" s="32"/>
      <c r="L46" s="78"/>
      <c r="N46" s="79" t="s">
        <v>60</v>
      </c>
      <c r="O46" s="79" t="s">
        <v>61</v>
      </c>
      <c r="P46" s="32"/>
    </row>
    <row r="47" spans="4:17" ht="11.25" customHeight="1" x14ac:dyDescent="0.15">
      <c r="D47" s="17" t="s">
        <v>62</v>
      </c>
      <c r="F47" s="51">
        <v>-51.500000000000007</v>
      </c>
      <c r="G47" s="89"/>
      <c r="H47" s="32"/>
      <c r="I47" s="32"/>
      <c r="J47" s="32"/>
      <c r="K47" s="32"/>
      <c r="L47" s="80"/>
      <c r="M47" s="81" t="s">
        <v>63</v>
      </c>
      <c r="N47" s="35">
        <v>0.39813557939733979</v>
      </c>
      <c r="O47" s="35">
        <v>0.53324537049853604</v>
      </c>
      <c r="P47" s="32"/>
    </row>
    <row r="48" spans="4:17" ht="11.25" customHeight="1" x14ac:dyDescent="0.15">
      <c r="D48" s="17" t="s">
        <v>64</v>
      </c>
      <c r="F48" s="51">
        <v>51.500000000000007</v>
      </c>
      <c r="G48" s="32"/>
      <c r="H48" s="32"/>
      <c r="I48" s="32"/>
      <c r="J48" s="32"/>
      <c r="K48" s="32"/>
      <c r="L48" s="80"/>
      <c r="M48" s="81" t="s">
        <v>65</v>
      </c>
      <c r="N48" s="82">
        <v>3.4925539391044844</v>
      </c>
      <c r="O48" s="82">
        <v>12.250388434052251</v>
      </c>
      <c r="P48" s="32"/>
    </row>
    <row r="49" spans="1:18" ht="11.25" customHeight="1" x14ac:dyDescent="0.15">
      <c r="A49" s="56"/>
      <c r="B49" s="56"/>
      <c r="C49" s="56"/>
      <c r="D49" s="17" t="s">
        <v>66</v>
      </c>
      <c r="F49" s="44">
        <v>-10.091955128205129</v>
      </c>
      <c r="G49" s="44"/>
      <c r="H49" s="44"/>
      <c r="I49" s="44"/>
      <c r="J49" s="44"/>
      <c r="K49" s="44"/>
      <c r="L49" s="44"/>
      <c r="M49" s="44"/>
      <c r="N49" s="44"/>
      <c r="O49" s="44"/>
      <c r="P49" s="44"/>
    </row>
    <row r="50" spans="1:18" ht="11.25" customHeight="1" x14ac:dyDescent="0.15">
      <c r="A50" s="56"/>
      <c r="B50" s="56"/>
      <c r="C50" s="56"/>
      <c r="D50" s="17" t="s">
        <v>67</v>
      </c>
      <c r="F50" s="32">
        <v>-84.763955128205126</v>
      </c>
      <c r="G50" s="32">
        <v>11.102149161225967</v>
      </c>
      <c r="H50" s="32">
        <v>18.943717517103053</v>
      </c>
      <c r="I50" s="32">
        <v>60.020031374553945</v>
      </c>
      <c r="J50" s="32">
        <v>88.796513148617919</v>
      </c>
      <c r="K50" s="32">
        <v>117.1802741755877</v>
      </c>
      <c r="L50" s="32">
        <v>43.332731332499463</v>
      </c>
      <c r="M50" s="32">
        <v>148.4111595972679</v>
      </c>
      <c r="N50" s="32">
        <v>164.91288376494526</v>
      </c>
      <c r="O50" s="32">
        <v>182.96911600386088</v>
      </c>
      <c r="P50" s="32">
        <v>202.72279945142583</v>
      </c>
    </row>
    <row r="51" spans="1:18" x14ac:dyDescent="0.15">
      <c r="A51" s="56"/>
      <c r="B51" s="56"/>
      <c r="C51" s="56"/>
    </row>
    <row r="52" spans="1:18" x14ac:dyDescent="0.15">
      <c r="A52" s="56"/>
      <c r="B52" s="56"/>
      <c r="C52" s="56"/>
    </row>
    <row r="53" spans="1:18" x14ac:dyDescent="0.15">
      <c r="A53" s="56"/>
      <c r="B53" s="56"/>
      <c r="C53" s="56"/>
    </row>
    <row r="54" spans="1:18" x14ac:dyDescent="0.15">
      <c r="A54" s="56"/>
      <c r="B54" s="56"/>
      <c r="C54" s="56"/>
    </row>
    <row r="55" spans="1:18" x14ac:dyDescent="0.15">
      <c r="A55" s="56"/>
      <c r="B55" s="56"/>
      <c r="C55" s="56"/>
      <c r="E55" s="82"/>
    </row>
    <row r="56" spans="1:18" s="2" customFormat="1" x14ac:dyDescent="0.15">
      <c r="R56" s="3"/>
    </row>
    <row r="57" spans="1:18" s="2" customFormat="1" ht="8" customHeight="1" x14ac:dyDescent="0.15"/>
    <row r="58" spans="1:18" s="2" customFormat="1" ht="20" customHeight="1" x14ac:dyDescent="0.2">
      <c r="D58" s="83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8"/>
      <c r="P58" s="8"/>
      <c r="Q58" s="8"/>
      <c r="R58" s="8"/>
    </row>
    <row r="59" spans="1:18" s="2" customFormat="1" ht="3" customHeight="1" x14ac:dyDescent="0.2">
      <c r="D59" s="84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12"/>
      <c r="P59" s="12"/>
      <c r="Q59" s="12"/>
      <c r="R59" s="12"/>
    </row>
    <row r="60" spans="1:18" s="2" customFormat="1" ht="2" customHeight="1" x14ac:dyDescent="0.15"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</row>
    <row r="61" spans="1:18" s="2" customFormat="1" ht="5.25" customHeight="1" x14ac:dyDescent="0.15"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</row>
    <row r="62" spans="1:18" s="18" customFormat="1" x14ac:dyDescent="0.15">
      <c r="A62" s="85"/>
      <c r="B62" s="85"/>
      <c r="C62" s="85"/>
    </row>
    <row r="63" spans="1:18" x14ac:dyDescent="0.15">
      <c r="A63" s="56"/>
      <c r="B63" s="56"/>
      <c r="C63" s="56"/>
    </row>
    <row r="64" spans="1:18" x14ac:dyDescent="0.15">
      <c r="A64" s="56"/>
      <c r="B64" s="56"/>
      <c r="C64" s="56"/>
    </row>
    <row r="65" spans="1:3" x14ac:dyDescent="0.15">
      <c r="A65" s="56"/>
      <c r="B65" s="56"/>
      <c r="C65" s="56"/>
    </row>
    <row r="66" spans="1:3" x14ac:dyDescent="0.15">
      <c r="A66" s="56"/>
      <c r="B66" s="56"/>
      <c r="C66" s="56"/>
    </row>
    <row r="67" spans="1:3" x14ac:dyDescent="0.15">
      <c r="A67" s="56"/>
      <c r="B67" s="56"/>
      <c r="C67" s="56"/>
    </row>
    <row r="68" spans="1:3" x14ac:dyDescent="0.15">
      <c r="A68" s="56"/>
      <c r="B68" s="56"/>
      <c r="C68" s="56"/>
    </row>
    <row r="69" spans="1:3" x14ac:dyDescent="0.15">
      <c r="A69" s="56"/>
      <c r="B69" s="56"/>
      <c r="C69" s="56"/>
    </row>
    <row r="70" spans="1:3" x14ac:dyDescent="0.15">
      <c r="A70" s="56"/>
      <c r="B70" s="56"/>
      <c r="C70" s="56"/>
    </row>
    <row r="71" spans="1:3" x14ac:dyDescent="0.15">
      <c r="A71" s="56"/>
      <c r="B71" s="56"/>
      <c r="C71" s="56"/>
    </row>
    <row r="72" spans="1:3" x14ac:dyDescent="0.15">
      <c r="A72" s="56"/>
      <c r="B72" s="56"/>
      <c r="C72" s="56"/>
    </row>
    <row r="73" spans="1:3" x14ac:dyDescent="0.15">
      <c r="A73" s="56"/>
      <c r="B73" s="56"/>
      <c r="C73" s="56"/>
    </row>
    <row r="74" spans="1:3" x14ac:dyDescent="0.15">
      <c r="A74" s="56"/>
      <c r="B74" s="56"/>
      <c r="C74" s="56"/>
    </row>
    <row r="75" spans="1:3" x14ac:dyDescent="0.15">
      <c r="A75" s="56"/>
      <c r="B75" s="56"/>
      <c r="C75" s="56"/>
    </row>
    <row r="76" spans="1:3" x14ac:dyDescent="0.15">
      <c r="A76" s="56"/>
      <c r="B76" s="56"/>
      <c r="C76" s="56"/>
    </row>
    <row r="77" spans="1:3" x14ac:dyDescent="0.15">
      <c r="A77" s="56"/>
      <c r="B77" s="56"/>
      <c r="C77" s="56"/>
    </row>
    <row r="78" spans="1:3" x14ac:dyDescent="0.15">
      <c r="A78" s="56"/>
      <c r="B78" s="56"/>
      <c r="C78" s="56"/>
    </row>
    <row r="79" spans="1:3" x14ac:dyDescent="0.15">
      <c r="A79" s="56"/>
      <c r="B79" s="56"/>
      <c r="C79" s="56"/>
    </row>
    <row r="80" spans="1:3" x14ac:dyDescent="0.15">
      <c r="A80" s="56"/>
      <c r="B80" s="56"/>
      <c r="C80" s="56"/>
    </row>
    <row r="81" spans="1:3" x14ac:dyDescent="0.15">
      <c r="A81" s="56"/>
      <c r="B81" s="56"/>
      <c r="C81" s="56"/>
    </row>
    <row r="82" spans="1:3" x14ac:dyDescent="0.15">
      <c r="A82" s="56"/>
      <c r="B82" s="56"/>
      <c r="C82" s="56"/>
    </row>
    <row r="83" spans="1:3" x14ac:dyDescent="0.15">
      <c r="A83" s="56"/>
      <c r="B83" s="56"/>
      <c r="C83" s="56"/>
    </row>
    <row r="84" spans="1:3" x14ac:dyDescent="0.15">
      <c r="A84" s="56"/>
      <c r="B84" s="56"/>
      <c r="C84" s="56"/>
    </row>
    <row r="85" spans="1:3" x14ac:dyDescent="0.15">
      <c r="A85" s="56"/>
      <c r="B85" s="56"/>
      <c r="C85" s="56"/>
    </row>
    <row r="86" spans="1:3" x14ac:dyDescent="0.15">
      <c r="A86" s="56"/>
      <c r="B86" s="56"/>
      <c r="C86" s="56"/>
    </row>
    <row r="87" spans="1:3" x14ac:dyDescent="0.15">
      <c r="A87" s="56"/>
      <c r="B87" s="56"/>
      <c r="C87" s="56"/>
    </row>
    <row r="88" spans="1:3" x14ac:dyDescent="0.15">
      <c r="A88" s="56"/>
      <c r="B88" s="56"/>
      <c r="C88" s="56"/>
    </row>
    <row r="89" spans="1:3" x14ac:dyDescent="0.15">
      <c r="A89" s="56"/>
      <c r="B89" s="56"/>
      <c r="C89" s="56"/>
    </row>
    <row r="90" spans="1:3" x14ac:dyDescent="0.15">
      <c r="A90" s="56"/>
      <c r="B90" s="56"/>
      <c r="C90" s="56"/>
    </row>
    <row r="91" spans="1:3" x14ac:dyDescent="0.15">
      <c r="A91" s="56"/>
      <c r="B91" s="56"/>
      <c r="C91" s="56"/>
    </row>
    <row r="92" spans="1:3" x14ac:dyDescent="0.15">
      <c r="A92" s="56"/>
      <c r="B92" s="56"/>
      <c r="C92" s="56"/>
    </row>
    <row r="93" spans="1:3" x14ac:dyDescent="0.15">
      <c r="A93" s="56"/>
      <c r="B93" s="56"/>
      <c r="C93" s="56"/>
    </row>
    <row r="94" spans="1:3" x14ac:dyDescent="0.15">
      <c r="A94" s="56"/>
      <c r="B94" s="56"/>
      <c r="C94" s="56"/>
    </row>
    <row r="95" spans="1:3" x14ac:dyDescent="0.15">
      <c r="A95" s="56"/>
      <c r="B95" s="56"/>
      <c r="C95" s="56"/>
    </row>
    <row r="96" spans="1:3" x14ac:dyDescent="0.15">
      <c r="A96" s="56"/>
      <c r="B96" s="56"/>
      <c r="C96" s="56"/>
    </row>
    <row r="97" spans="1:3" x14ac:dyDescent="0.15">
      <c r="A97" s="56"/>
      <c r="B97" s="56"/>
      <c r="C97" s="56"/>
    </row>
    <row r="98" spans="1:3" x14ac:dyDescent="0.15">
      <c r="A98" s="56"/>
      <c r="B98" s="56"/>
      <c r="C98" s="56"/>
    </row>
    <row r="99" spans="1:3" x14ac:dyDescent="0.15">
      <c r="A99" s="56"/>
      <c r="B99" s="56"/>
      <c r="C99" s="56"/>
    </row>
    <row r="100" spans="1:3" x14ac:dyDescent="0.15">
      <c r="A100" s="56"/>
      <c r="B100" s="56"/>
      <c r="C100" s="56"/>
    </row>
    <row r="101" spans="1:3" x14ac:dyDescent="0.15">
      <c r="A101" s="56"/>
      <c r="B101" s="56"/>
      <c r="C101" s="56"/>
    </row>
    <row r="102" spans="1:3" x14ac:dyDescent="0.15">
      <c r="A102" s="56"/>
      <c r="B102" s="56"/>
      <c r="C102" s="56"/>
    </row>
    <row r="103" spans="1:3" x14ac:dyDescent="0.15">
      <c r="A103" s="56"/>
      <c r="B103" s="56"/>
      <c r="C103" s="56"/>
    </row>
    <row r="104" spans="1:3" x14ac:dyDescent="0.15">
      <c r="A104" s="56"/>
      <c r="B104" s="56"/>
      <c r="C104" s="56"/>
    </row>
    <row r="105" spans="1:3" x14ac:dyDescent="0.15">
      <c r="A105" s="56"/>
      <c r="B105" s="56"/>
      <c r="C105" s="56"/>
    </row>
    <row r="106" spans="1:3" x14ac:dyDescent="0.15">
      <c r="A106" s="56"/>
      <c r="B106" s="56"/>
      <c r="C106" s="56"/>
    </row>
    <row r="107" spans="1:3" x14ac:dyDescent="0.15">
      <c r="A107" s="56"/>
      <c r="B107" s="56"/>
      <c r="C107" s="56"/>
    </row>
    <row r="108" spans="1:3" x14ac:dyDescent="0.15">
      <c r="A108" s="56"/>
      <c r="B108" s="56"/>
      <c r="C108" s="56"/>
    </row>
    <row r="109" spans="1:3" x14ac:dyDescent="0.15">
      <c r="A109" s="56"/>
      <c r="B109" s="56"/>
      <c r="C109" s="56"/>
    </row>
    <row r="110" spans="1:3" x14ac:dyDescent="0.15">
      <c r="A110" s="56"/>
      <c r="B110" s="56"/>
      <c r="C110" s="56"/>
    </row>
    <row r="111" spans="1:3" x14ac:dyDescent="0.15">
      <c r="A111" s="56"/>
      <c r="B111" s="56"/>
      <c r="C111" s="56"/>
    </row>
    <row r="112" spans="1:3" x14ac:dyDescent="0.15">
      <c r="A112" s="56"/>
      <c r="B112" s="56"/>
      <c r="C112" s="56"/>
    </row>
    <row r="113" spans="1:3" x14ac:dyDescent="0.15">
      <c r="A113" s="56"/>
      <c r="B113" s="56"/>
      <c r="C113" s="56"/>
    </row>
    <row r="114" spans="1:3" x14ac:dyDescent="0.15">
      <c r="A114" s="56"/>
      <c r="B114" s="56"/>
      <c r="C114" s="56"/>
    </row>
    <row r="115" spans="1:3" x14ac:dyDescent="0.15">
      <c r="A115" s="56"/>
      <c r="B115" s="56"/>
      <c r="C115" s="56"/>
    </row>
    <row r="116" spans="1:3" x14ac:dyDescent="0.15">
      <c r="A116" s="56"/>
      <c r="B116" s="56"/>
      <c r="C116" s="56"/>
    </row>
    <row r="117" spans="1:3" x14ac:dyDescent="0.15">
      <c r="A117" s="56"/>
      <c r="B117" s="56"/>
      <c r="C117" s="56"/>
    </row>
    <row r="118" spans="1:3" x14ac:dyDescent="0.15">
      <c r="A118" s="56"/>
      <c r="B118" s="56"/>
      <c r="C118" s="56"/>
    </row>
    <row r="119" spans="1:3" x14ac:dyDescent="0.15">
      <c r="A119" s="56"/>
      <c r="B119" s="56"/>
      <c r="C119" s="56"/>
    </row>
    <row r="120" spans="1:3" x14ac:dyDescent="0.15">
      <c r="A120" s="56"/>
      <c r="B120" s="56"/>
      <c r="C120" s="56"/>
    </row>
    <row r="121" spans="1:3" x14ac:dyDescent="0.15">
      <c r="A121" s="56"/>
      <c r="B121" s="56"/>
      <c r="C121" s="56"/>
    </row>
    <row r="122" spans="1:3" x14ac:dyDescent="0.15">
      <c r="A122" s="56"/>
      <c r="B122" s="56"/>
      <c r="C122" s="56"/>
    </row>
    <row r="123" spans="1:3" x14ac:dyDescent="0.15">
      <c r="A123" s="56"/>
      <c r="B123" s="56"/>
      <c r="C123" s="56"/>
    </row>
    <row r="124" spans="1:3" x14ac:dyDescent="0.15">
      <c r="A124" s="56"/>
      <c r="B124" s="56"/>
      <c r="C124" s="56"/>
    </row>
    <row r="125" spans="1:3" x14ac:dyDescent="0.15">
      <c r="A125" s="56"/>
      <c r="B125" s="56"/>
      <c r="C125" s="56"/>
    </row>
    <row r="126" spans="1:3" x14ac:dyDescent="0.15">
      <c r="A126" s="56"/>
      <c r="B126" s="56"/>
      <c r="C126" s="56"/>
    </row>
    <row r="127" spans="1:3" x14ac:dyDescent="0.15">
      <c r="A127" s="56"/>
      <c r="B127" s="56"/>
      <c r="C127" s="56"/>
    </row>
    <row r="128" spans="1:3" x14ac:dyDescent="0.15">
      <c r="A128" s="56"/>
      <c r="B128" s="56"/>
      <c r="C128" s="56"/>
    </row>
    <row r="129" spans="1:3" x14ac:dyDescent="0.15">
      <c r="A129" s="56"/>
      <c r="B129" s="56"/>
      <c r="C129" s="56"/>
    </row>
    <row r="130" spans="1:3" x14ac:dyDescent="0.15">
      <c r="A130" s="56"/>
      <c r="B130" s="56"/>
      <c r="C130" s="56"/>
    </row>
    <row r="131" spans="1:3" x14ac:dyDescent="0.15">
      <c r="A131" s="56"/>
      <c r="B131" s="56"/>
      <c r="C131" s="56"/>
    </row>
    <row r="132" spans="1:3" x14ac:dyDescent="0.15">
      <c r="A132" s="56"/>
      <c r="B132" s="56"/>
      <c r="C132" s="56"/>
    </row>
    <row r="133" spans="1:3" x14ac:dyDescent="0.15">
      <c r="A133" s="56"/>
      <c r="B133" s="56"/>
      <c r="C133" s="56"/>
    </row>
    <row r="134" spans="1:3" x14ac:dyDescent="0.15">
      <c r="A134" s="56"/>
      <c r="B134" s="56"/>
      <c r="C134" s="56"/>
    </row>
    <row r="135" spans="1:3" x14ac:dyDescent="0.15">
      <c r="A135" s="56"/>
      <c r="B135" s="56"/>
      <c r="C135" s="56"/>
    </row>
    <row r="136" spans="1:3" x14ac:dyDescent="0.15">
      <c r="A136" s="56"/>
      <c r="B136" s="56"/>
      <c r="C136" s="56"/>
    </row>
    <row r="137" spans="1:3" x14ac:dyDescent="0.15">
      <c r="A137" s="56"/>
      <c r="B137" s="56"/>
      <c r="C137" s="56"/>
    </row>
    <row r="138" spans="1:3" x14ac:dyDescent="0.15">
      <c r="A138" s="56"/>
      <c r="B138" s="56"/>
      <c r="C138" s="56"/>
    </row>
    <row r="139" spans="1:3" x14ac:dyDescent="0.15">
      <c r="A139" s="56"/>
      <c r="B139" s="56"/>
      <c r="C139" s="56"/>
    </row>
    <row r="140" spans="1:3" x14ac:dyDescent="0.15">
      <c r="A140" s="56"/>
      <c r="B140" s="56"/>
      <c r="C140" s="56"/>
    </row>
    <row r="141" spans="1:3" x14ac:dyDescent="0.15">
      <c r="A141" s="56"/>
      <c r="B141" s="56"/>
      <c r="C141" s="56"/>
    </row>
    <row r="142" spans="1:3" x14ac:dyDescent="0.15">
      <c r="A142" s="56"/>
      <c r="B142" s="56"/>
      <c r="C142" s="56"/>
    </row>
    <row r="143" spans="1:3" x14ac:dyDescent="0.15">
      <c r="A143" s="56"/>
      <c r="B143" s="56"/>
      <c r="C143" s="56"/>
    </row>
    <row r="144" spans="1:3" x14ac:dyDescent="0.15">
      <c r="A144" s="56"/>
      <c r="B144" s="56"/>
      <c r="C144" s="56"/>
    </row>
    <row r="145" spans="1:3" x14ac:dyDescent="0.15">
      <c r="A145" s="56"/>
      <c r="B145" s="56"/>
      <c r="C145" s="56"/>
    </row>
    <row r="146" spans="1:3" x14ac:dyDescent="0.15">
      <c r="A146" s="56"/>
      <c r="B146" s="56"/>
      <c r="C146" s="56"/>
    </row>
    <row r="147" spans="1:3" x14ac:dyDescent="0.15">
      <c r="A147" s="56"/>
      <c r="B147" s="56"/>
      <c r="C147" s="56"/>
    </row>
    <row r="148" spans="1:3" x14ac:dyDescent="0.15">
      <c r="A148" s="56"/>
      <c r="B148" s="56"/>
      <c r="C148" s="56"/>
    </row>
    <row r="149" spans="1:3" x14ac:dyDescent="0.15">
      <c r="A149" s="56"/>
      <c r="B149" s="56"/>
      <c r="C149" s="56"/>
    </row>
    <row r="150" spans="1:3" x14ac:dyDescent="0.15">
      <c r="A150" s="56"/>
      <c r="B150" s="56"/>
      <c r="C150" s="56"/>
    </row>
    <row r="151" spans="1:3" x14ac:dyDescent="0.15">
      <c r="A151" s="56"/>
      <c r="B151" s="56"/>
      <c r="C151" s="56"/>
    </row>
    <row r="152" spans="1:3" x14ac:dyDescent="0.15">
      <c r="A152" s="56"/>
      <c r="B152" s="56"/>
      <c r="C152" s="56"/>
    </row>
    <row r="153" spans="1:3" x14ac:dyDescent="0.15">
      <c r="A153" s="56"/>
      <c r="B153" s="56"/>
      <c r="C153" s="56"/>
    </row>
    <row r="154" spans="1:3" x14ac:dyDescent="0.15">
      <c r="A154" s="56"/>
      <c r="B154" s="56"/>
      <c r="C154" s="56"/>
    </row>
    <row r="155" spans="1:3" x14ac:dyDescent="0.15">
      <c r="A155" s="56"/>
      <c r="B155" s="56"/>
      <c r="C155" s="56"/>
    </row>
    <row r="156" spans="1:3" x14ac:dyDescent="0.15">
      <c r="A156" s="56"/>
      <c r="B156" s="56"/>
      <c r="C156" s="56"/>
    </row>
    <row r="157" spans="1:3" x14ac:dyDescent="0.15">
      <c r="A157" s="56"/>
      <c r="B157" s="56"/>
      <c r="C157" s="56"/>
    </row>
    <row r="158" spans="1:3" x14ac:dyDescent="0.15">
      <c r="A158" s="56"/>
      <c r="B158" s="56"/>
      <c r="C158" s="56"/>
    </row>
    <row r="159" spans="1:3" x14ac:dyDescent="0.15">
      <c r="A159" s="56"/>
      <c r="B159" s="56"/>
      <c r="C159" s="56"/>
    </row>
    <row r="160" spans="1:3" x14ac:dyDescent="0.15">
      <c r="A160" s="56"/>
      <c r="B160" s="56"/>
      <c r="C160" s="56"/>
    </row>
    <row r="161" spans="1:3" x14ac:dyDescent="0.15">
      <c r="A161" s="56"/>
      <c r="B161" s="56"/>
      <c r="C161" s="56"/>
    </row>
    <row r="162" spans="1:3" x14ac:dyDescent="0.15">
      <c r="A162" s="56"/>
      <c r="B162" s="56"/>
      <c r="C162" s="56"/>
    </row>
    <row r="163" spans="1:3" x14ac:dyDescent="0.15">
      <c r="A163" s="56"/>
      <c r="B163" s="56"/>
      <c r="C163" s="56"/>
    </row>
    <row r="164" spans="1:3" x14ac:dyDescent="0.15">
      <c r="A164" s="56"/>
      <c r="B164" s="56"/>
      <c r="C164" s="56"/>
    </row>
    <row r="165" spans="1:3" x14ac:dyDescent="0.15">
      <c r="A165" s="56"/>
      <c r="B165" s="56"/>
      <c r="C165" s="56"/>
    </row>
    <row r="166" spans="1:3" x14ac:dyDescent="0.15">
      <c r="A166" s="56"/>
      <c r="B166" s="56"/>
      <c r="C166" s="56"/>
    </row>
    <row r="167" spans="1:3" x14ac:dyDescent="0.15">
      <c r="A167" s="56"/>
      <c r="B167" s="56"/>
      <c r="C167" s="56"/>
    </row>
    <row r="168" spans="1:3" x14ac:dyDescent="0.15">
      <c r="A168" s="56"/>
      <c r="B168" s="56"/>
      <c r="C168" s="56"/>
    </row>
    <row r="169" spans="1:3" x14ac:dyDescent="0.15">
      <c r="A169" s="56"/>
      <c r="B169" s="56"/>
      <c r="C169" s="56"/>
    </row>
    <row r="170" spans="1:3" x14ac:dyDescent="0.15">
      <c r="A170" s="56"/>
      <c r="B170" s="56"/>
      <c r="C170" s="56"/>
    </row>
    <row r="171" spans="1:3" x14ac:dyDescent="0.15">
      <c r="A171" s="56"/>
      <c r="B171" s="56"/>
      <c r="C171" s="56"/>
    </row>
    <row r="172" spans="1:3" x14ac:dyDescent="0.15">
      <c r="A172" s="56"/>
      <c r="B172" s="56"/>
      <c r="C172" s="56"/>
    </row>
    <row r="173" spans="1:3" x14ac:dyDescent="0.15">
      <c r="A173" s="56"/>
      <c r="B173" s="56"/>
      <c r="C173" s="56"/>
    </row>
    <row r="174" spans="1:3" x14ac:dyDescent="0.15">
      <c r="A174" s="56"/>
      <c r="B174" s="56"/>
      <c r="C174" s="56"/>
    </row>
    <row r="175" spans="1:3" x14ac:dyDescent="0.15">
      <c r="A175" s="56"/>
      <c r="B175" s="56"/>
      <c r="C175" s="56"/>
    </row>
    <row r="176" spans="1:3" x14ac:dyDescent="0.15">
      <c r="A176" s="56"/>
      <c r="B176" s="56"/>
      <c r="C176" s="56"/>
    </row>
    <row r="177" spans="1:3" x14ac:dyDescent="0.15">
      <c r="A177" s="56"/>
      <c r="B177" s="56"/>
      <c r="C177" s="56"/>
    </row>
    <row r="178" spans="1:3" x14ac:dyDescent="0.15">
      <c r="A178" s="56"/>
      <c r="B178" s="56"/>
      <c r="C178" s="56"/>
    </row>
    <row r="179" spans="1:3" x14ac:dyDescent="0.15">
      <c r="A179" s="56"/>
      <c r="B179" s="56"/>
      <c r="C179" s="56"/>
    </row>
    <row r="180" spans="1:3" x14ac:dyDescent="0.15">
      <c r="A180" s="56"/>
      <c r="B180" s="56"/>
      <c r="C180" s="56"/>
    </row>
    <row r="181" spans="1:3" x14ac:dyDescent="0.15">
      <c r="A181" s="56"/>
      <c r="B181" s="56"/>
      <c r="C181" s="56"/>
    </row>
    <row r="182" spans="1:3" x14ac:dyDescent="0.15">
      <c r="A182" s="56"/>
      <c r="B182" s="56"/>
      <c r="C182" s="56"/>
    </row>
  </sheetData>
  <pageMargins left="0.75" right="0.75" top="1" bottom="1" header="0.5" footer="0.5"/>
  <pageSetup orientation="portrait" horizontalDpi="4294967292" verticalDpi="429496729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/>
  </sheetPr>
  <dimension ref="A1:AG402"/>
  <sheetViews>
    <sheetView showGridLines="0" topLeftCell="A66" zoomScaleNormal="70" zoomScalePageLayoutView="70" workbookViewId="0">
      <selection activeCell="R26" sqref="R26"/>
    </sheetView>
  </sheetViews>
  <sheetFormatPr baseColWidth="10" defaultColWidth="11.5" defaultRowHeight="13" outlineLevelRow="1" x14ac:dyDescent="0.15"/>
  <cols>
    <col min="1" max="3" width="3.33203125" style="1" customWidth="1"/>
    <col min="4" max="4" width="11.1640625" style="17" customWidth="1"/>
    <col min="5" max="5" width="9.33203125" style="17" bestFit="1" customWidth="1"/>
    <col min="6" max="6" width="17.1640625" style="17" customWidth="1"/>
    <col min="7" max="7" width="8.1640625" style="17" customWidth="1"/>
    <col min="8" max="8" width="9.6640625" style="17" bestFit="1" customWidth="1"/>
    <col min="9" max="9" width="9.5" style="17" bestFit="1" customWidth="1"/>
    <col min="10" max="10" width="10.5" style="17" bestFit="1" customWidth="1"/>
    <col min="11" max="14" width="11.5" style="17" bestFit="1" customWidth="1"/>
    <col min="15" max="17" width="12.5" style="17" bestFit="1" customWidth="1"/>
    <col min="18" max="19" width="11.5" style="18" customWidth="1"/>
    <col min="20" max="20" width="14" style="17" customWidth="1"/>
    <col min="21" max="21" width="3.1640625" style="17" customWidth="1"/>
    <col min="22" max="22" width="6" style="17" customWidth="1"/>
    <col min="23" max="16384" width="11.5" style="17"/>
  </cols>
  <sheetData>
    <row r="1" spans="4:33" s="1" customFormat="1" ht="11.25" customHeight="1" x14ac:dyDescent="0.15">
      <c r="R1" s="2"/>
      <c r="S1" s="2"/>
    </row>
    <row r="2" spans="4:33" s="1" customFormat="1" x14ac:dyDescent="0.15">
      <c r="R2" s="2"/>
      <c r="S2" s="3"/>
    </row>
    <row r="3" spans="4:33" s="1" customFormat="1" ht="20" customHeight="1" x14ac:dyDescent="0.25">
      <c r="D3" s="4" t="s">
        <v>0</v>
      </c>
      <c r="E3" s="5"/>
      <c r="F3" s="5"/>
      <c r="G3" s="5"/>
      <c r="H3" s="5"/>
      <c r="I3" s="5"/>
      <c r="J3" s="5"/>
      <c r="K3" s="5"/>
      <c r="L3" s="5"/>
      <c r="M3" s="5"/>
      <c r="N3" s="5"/>
      <c r="O3" s="6"/>
      <c r="Q3" s="7" t="s">
        <v>348</v>
      </c>
      <c r="R3" s="8"/>
      <c r="S3" s="8"/>
    </row>
    <row r="4" spans="4:33" s="1" customFormat="1" ht="3" customHeight="1" x14ac:dyDescent="0.2"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1"/>
      <c r="R4" s="12"/>
      <c r="S4" s="12"/>
    </row>
    <row r="5" spans="4:33" s="1" customFormat="1" ht="2" customHeight="1" x14ac:dyDescent="0.15"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4"/>
      <c r="S5" s="14"/>
    </row>
    <row r="6" spans="4:33" s="1" customFormat="1" ht="5.25" customHeight="1" x14ac:dyDescent="0.15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4"/>
      <c r="S6" s="14"/>
    </row>
    <row r="7" spans="4:33" ht="19" thickBot="1" x14ac:dyDescent="0.25">
      <c r="D7" s="16" t="s">
        <v>335</v>
      </c>
      <c r="Z7" s="393" t="s">
        <v>336</v>
      </c>
    </row>
    <row r="8" spans="4:33" x14ac:dyDescent="0.15">
      <c r="D8" s="19" t="s">
        <v>1</v>
      </c>
      <c r="W8" s="57"/>
      <c r="X8" s="394"/>
      <c r="Y8" s="394"/>
      <c r="Z8" s="394"/>
      <c r="AA8" s="394"/>
      <c r="AB8" s="394"/>
      <c r="AC8" s="394"/>
      <c r="AD8" s="394"/>
      <c r="AE8" s="394"/>
      <c r="AF8" s="394"/>
      <c r="AG8" s="395"/>
    </row>
    <row r="9" spans="4:33" x14ac:dyDescent="0.15">
      <c r="G9" s="20"/>
      <c r="H9" s="22" t="s">
        <v>2</v>
      </c>
      <c r="I9" s="22"/>
      <c r="J9" s="22"/>
      <c r="K9" s="22"/>
      <c r="L9" s="22"/>
      <c r="M9" s="22"/>
      <c r="N9" s="22"/>
      <c r="O9" s="22"/>
      <c r="P9" s="22"/>
      <c r="Q9" s="22"/>
      <c r="W9" s="396"/>
      <c r="X9" s="22" t="s">
        <v>2</v>
      </c>
      <c r="Y9" s="22"/>
      <c r="Z9" s="22"/>
      <c r="AA9" s="22"/>
      <c r="AB9" s="22"/>
      <c r="AC9" s="22"/>
      <c r="AD9" s="22"/>
      <c r="AE9" s="22"/>
      <c r="AF9" s="22"/>
      <c r="AG9" s="397"/>
    </row>
    <row r="10" spans="4:33" x14ac:dyDescent="0.15">
      <c r="D10" s="295"/>
      <c r="E10" s="295"/>
      <c r="G10" s="41">
        <v>0</v>
      </c>
      <c r="H10" s="25">
        <v>1</v>
      </c>
      <c r="I10" s="25">
        <v>2</v>
      </c>
      <c r="J10" s="25">
        <v>3</v>
      </c>
      <c r="K10" s="25">
        <v>4</v>
      </c>
      <c r="L10" s="25">
        <v>5</v>
      </c>
      <c r="M10" s="25">
        <v>6</v>
      </c>
      <c r="N10" s="25">
        <v>7</v>
      </c>
      <c r="O10" s="25">
        <v>8</v>
      </c>
      <c r="P10" s="25">
        <v>9</v>
      </c>
      <c r="Q10" s="25">
        <v>10</v>
      </c>
      <c r="W10" s="398">
        <v>0</v>
      </c>
      <c r="X10" s="25">
        <v>1</v>
      </c>
      <c r="Y10" s="25">
        <v>2</v>
      </c>
      <c r="Z10" s="25">
        <v>3</v>
      </c>
      <c r="AA10" s="25">
        <v>4</v>
      </c>
      <c r="AB10" s="25">
        <v>5</v>
      </c>
      <c r="AC10" s="25">
        <v>6</v>
      </c>
      <c r="AD10" s="25">
        <v>7</v>
      </c>
      <c r="AE10" s="25">
        <v>8</v>
      </c>
      <c r="AF10" s="25">
        <v>9</v>
      </c>
      <c r="AG10" s="399">
        <v>10</v>
      </c>
    </row>
    <row r="11" spans="4:33" x14ac:dyDescent="0.15">
      <c r="G11" s="42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W11" s="400" t="s">
        <v>197</v>
      </c>
      <c r="X11" s="375"/>
      <c r="Y11" s="375"/>
      <c r="Z11" s="375"/>
      <c r="AA11" s="375"/>
      <c r="AB11" s="375"/>
      <c r="AC11" s="375"/>
      <c r="AD11" s="375"/>
      <c r="AE11" s="375"/>
      <c r="AF11" s="375"/>
      <c r="AG11" s="401"/>
    </row>
    <row r="12" spans="4:33" x14ac:dyDescent="0.15">
      <c r="D12" s="40" t="s">
        <v>197</v>
      </c>
      <c r="G12" s="81" t="s">
        <v>337</v>
      </c>
      <c r="H12" s="32">
        <v>653.07599999999991</v>
      </c>
      <c r="I12" s="32">
        <v>2242.2275999999997</v>
      </c>
      <c r="J12" s="32">
        <v>8660.6041049999985</v>
      </c>
      <c r="K12" s="32">
        <v>19823.160507000001</v>
      </c>
      <c r="L12" s="32">
        <v>25522.319152762495</v>
      </c>
      <c r="M12" s="32">
        <v>36803.184218283517</v>
      </c>
      <c r="N12" s="32">
        <v>47654.865964931683</v>
      </c>
      <c r="O12" s="32">
        <v>53992.963138267616</v>
      </c>
      <c r="P12" s="32">
        <v>61174.027235657202</v>
      </c>
      <c r="Q12" s="32">
        <v>69310.172857999627</v>
      </c>
      <c r="W12" s="402" t="s">
        <v>337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3">
        <v>0</v>
      </c>
      <c r="AF12" s="33">
        <v>0</v>
      </c>
      <c r="AG12" s="403">
        <v>0</v>
      </c>
    </row>
    <row r="13" spans="4:33" x14ac:dyDescent="0.15">
      <c r="G13" s="81" t="s">
        <v>338</v>
      </c>
      <c r="H13" s="51">
        <v>529.66079999999999</v>
      </c>
      <c r="I13" s="51">
        <v>818.32593599999984</v>
      </c>
      <c r="J13" s="51">
        <v>1229.1937497000001</v>
      </c>
      <c r="K13" s="51">
        <v>1483.1100585665997</v>
      </c>
      <c r="L13" s="51">
        <v>1751.1550715904662</v>
      </c>
      <c r="M13" s="51">
        <v>1900.8606522002447</v>
      </c>
      <c r="N13" s="51">
        <v>2063.3645059208993</v>
      </c>
      <c r="O13" s="51">
        <v>2239.7607522498697</v>
      </c>
      <c r="P13" s="51">
        <v>2431.2370465440258</v>
      </c>
      <c r="Q13" s="51">
        <v>2639.0825763646972</v>
      </c>
      <c r="W13" s="402" t="s">
        <v>338</v>
      </c>
      <c r="X13" s="378">
        <v>529.66079999999999</v>
      </c>
      <c r="Y13" s="378">
        <v>818.32593599999984</v>
      </c>
      <c r="Z13" s="378">
        <v>1229.1937497000001</v>
      </c>
      <c r="AA13" s="378">
        <v>1483.1100585665997</v>
      </c>
      <c r="AB13" s="378">
        <v>1751.1550715904662</v>
      </c>
      <c r="AC13" s="378">
        <v>1900.8606522002447</v>
      </c>
      <c r="AD13" s="378">
        <v>2063.3645059208993</v>
      </c>
      <c r="AE13" s="378">
        <v>2239.7607522498697</v>
      </c>
      <c r="AF13" s="378">
        <v>2431.2370465440258</v>
      </c>
      <c r="AG13" s="404">
        <v>2639.0825763646972</v>
      </c>
    </row>
    <row r="14" spans="4:33" x14ac:dyDescent="0.15">
      <c r="E14" s="17" t="s">
        <v>339</v>
      </c>
      <c r="H14" s="405"/>
      <c r="I14" s="405"/>
      <c r="J14" s="405"/>
      <c r="K14" s="405"/>
      <c r="L14" s="405"/>
      <c r="M14" s="405"/>
      <c r="N14" s="405"/>
      <c r="O14" s="405"/>
      <c r="P14" s="405"/>
      <c r="Q14" s="405"/>
      <c r="W14" s="406"/>
      <c r="X14" s="405"/>
      <c r="Y14" s="405"/>
      <c r="Z14" s="405"/>
      <c r="AA14" s="405"/>
      <c r="AB14" s="405"/>
      <c r="AC14" s="405"/>
      <c r="AD14" s="405"/>
      <c r="AE14" s="405"/>
      <c r="AF14" s="405"/>
      <c r="AG14" s="407"/>
    </row>
    <row r="15" spans="4:33" x14ac:dyDescent="0.15">
      <c r="E15" s="81" t="s">
        <v>337</v>
      </c>
      <c r="F15" s="384" t="s">
        <v>338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W15" s="406"/>
      <c r="X15" s="33"/>
      <c r="Y15" s="33"/>
      <c r="Z15" s="33"/>
      <c r="AA15" s="33"/>
      <c r="AB15" s="33"/>
      <c r="AC15" s="33"/>
      <c r="AD15" s="33"/>
      <c r="AE15" s="33"/>
      <c r="AF15" s="33"/>
      <c r="AG15" s="403"/>
    </row>
    <row r="16" spans="4:33" x14ac:dyDescent="0.15">
      <c r="D16" s="408">
        <v>1</v>
      </c>
      <c r="E16" s="409">
        <v>1</v>
      </c>
      <c r="F16" s="410">
        <v>2</v>
      </c>
      <c r="H16" s="33">
        <v>1712.3975999999998</v>
      </c>
      <c r="I16" s="33">
        <v>3878.8794719999996</v>
      </c>
      <c r="J16" s="33">
        <v>11118.991604399998</v>
      </c>
      <c r="K16" s="33">
        <v>22789.380624133199</v>
      </c>
      <c r="L16" s="33">
        <v>29024.629295943429</v>
      </c>
      <c r="M16" s="33">
        <v>40604.905522684006</v>
      </c>
      <c r="N16" s="33">
        <v>51781.594976773486</v>
      </c>
      <c r="O16" s="33">
        <v>58472.484642767355</v>
      </c>
      <c r="P16" s="33">
        <v>66036.50132874526</v>
      </c>
      <c r="Q16" s="33">
        <v>74588.338010729029</v>
      </c>
      <c r="T16" s="39"/>
      <c r="U16" s="39"/>
      <c r="V16" s="571"/>
      <c r="W16" s="406"/>
      <c r="X16" s="33">
        <v>1059.3216</v>
      </c>
      <c r="Y16" s="33">
        <v>1636.6518719999997</v>
      </c>
      <c r="Z16" s="33">
        <v>2458.3874994000003</v>
      </c>
      <c r="AA16" s="33">
        <v>2966.2201171331994</v>
      </c>
      <c r="AB16" s="33">
        <v>3502.3101431809323</v>
      </c>
      <c r="AC16" s="33">
        <v>3801.7213044004893</v>
      </c>
      <c r="AD16" s="33">
        <v>4126.7290118417986</v>
      </c>
      <c r="AE16" s="33">
        <v>4479.5215044997394</v>
      </c>
      <c r="AF16" s="33">
        <v>4862.4740930880516</v>
      </c>
      <c r="AG16" s="403">
        <v>5278.1651527293943</v>
      </c>
    </row>
    <row r="17" spans="4:33" x14ac:dyDescent="0.15">
      <c r="D17" s="408">
        <v>2</v>
      </c>
      <c r="E17" s="409">
        <v>0</v>
      </c>
      <c r="F17" s="410">
        <v>2</v>
      </c>
      <c r="I17" s="33">
        <v>1059.3216</v>
      </c>
      <c r="J17" s="33">
        <v>1636.6518719999997</v>
      </c>
      <c r="K17" s="33">
        <v>2458.3874994000003</v>
      </c>
      <c r="L17" s="33">
        <v>2966.2201171331994</v>
      </c>
      <c r="M17" s="33">
        <v>3502.3101431809323</v>
      </c>
      <c r="N17" s="33">
        <v>3801.7213044004893</v>
      </c>
      <c r="O17" s="33">
        <v>4126.7290118417986</v>
      </c>
      <c r="P17" s="33">
        <v>4479.5215044997394</v>
      </c>
      <c r="Q17" s="33">
        <v>4862.4740930880516</v>
      </c>
      <c r="T17" s="39"/>
      <c r="U17" s="39"/>
      <c r="V17" s="572"/>
      <c r="W17" s="406"/>
      <c r="X17" s="39"/>
      <c r="Y17" s="33">
        <v>1059.3216</v>
      </c>
      <c r="Z17" s="33">
        <v>1636.6518719999997</v>
      </c>
      <c r="AA17" s="33">
        <v>2458.3874994000003</v>
      </c>
      <c r="AB17" s="33">
        <v>2966.2201171331994</v>
      </c>
      <c r="AC17" s="33">
        <v>3502.3101431809323</v>
      </c>
      <c r="AD17" s="33">
        <v>3801.7213044004893</v>
      </c>
      <c r="AE17" s="33">
        <v>4126.7290118417986</v>
      </c>
      <c r="AF17" s="33">
        <v>4479.5215044997394</v>
      </c>
      <c r="AG17" s="403">
        <v>4862.4740930880516</v>
      </c>
    </row>
    <row r="18" spans="4:33" x14ac:dyDescent="0.15">
      <c r="D18" s="408">
        <v>3</v>
      </c>
      <c r="E18" s="411">
        <v>2</v>
      </c>
      <c r="F18" s="412">
        <v>6</v>
      </c>
      <c r="J18" s="33">
        <v>4484.1167999999998</v>
      </c>
      <c r="K18" s="33">
        <v>9394.4108159999996</v>
      </c>
      <c r="L18" s="33">
        <v>24696.370708199996</v>
      </c>
      <c r="M18" s="33">
        <v>48544.981365399595</v>
      </c>
      <c r="N18" s="33">
        <v>61551.568735067791</v>
      </c>
      <c r="O18" s="33">
        <v>85011.532349768502</v>
      </c>
      <c r="P18" s="33">
        <v>107689.91896538876</v>
      </c>
      <c r="Q18" s="33">
        <v>121424.49079003446</v>
      </c>
      <c r="T18" s="39"/>
      <c r="U18" s="39"/>
      <c r="V18" s="572"/>
      <c r="W18" s="406"/>
      <c r="X18" s="39"/>
      <c r="Y18" s="39"/>
      <c r="Z18" s="33">
        <v>3177.9647999999997</v>
      </c>
      <c r="AA18" s="33">
        <v>4909.9556159999993</v>
      </c>
      <c r="AB18" s="33">
        <v>7375.1624982000012</v>
      </c>
      <c r="AC18" s="33">
        <v>8898.6603513995979</v>
      </c>
      <c r="AD18" s="33">
        <v>10506.930429542797</v>
      </c>
      <c r="AE18" s="33">
        <v>11405.163913201468</v>
      </c>
      <c r="AF18" s="33">
        <v>12380.187035525396</v>
      </c>
      <c r="AG18" s="403">
        <v>13438.564513499219</v>
      </c>
    </row>
    <row r="19" spans="4:33" x14ac:dyDescent="0.15">
      <c r="D19" s="408">
        <v>4</v>
      </c>
      <c r="E19" s="411">
        <v>4</v>
      </c>
      <c r="F19" s="412">
        <v>12</v>
      </c>
      <c r="K19" s="378">
        <v>8968.2335999999996</v>
      </c>
      <c r="L19" s="378">
        <v>18788.821631999999</v>
      </c>
      <c r="M19" s="378">
        <v>49392.741416399993</v>
      </c>
      <c r="N19" s="378">
        <v>97089.96273079919</v>
      </c>
      <c r="O19" s="378">
        <v>123103.13747013558</v>
      </c>
      <c r="P19" s="378">
        <v>170023.064699537</v>
      </c>
      <c r="Q19" s="378">
        <v>215379.83793077752</v>
      </c>
      <c r="R19" s="33"/>
      <c r="S19" s="33"/>
      <c r="T19" s="39"/>
      <c r="U19" s="39"/>
      <c r="V19" s="572"/>
      <c r="W19" s="406"/>
      <c r="X19" s="39"/>
      <c r="Y19" s="39"/>
      <c r="Z19" s="39"/>
      <c r="AA19" s="378">
        <v>6355.9295999999995</v>
      </c>
      <c r="AB19" s="378">
        <v>9819.9112319999986</v>
      </c>
      <c r="AC19" s="378">
        <v>14750.324996400002</v>
      </c>
      <c r="AD19" s="378">
        <v>17797.320702799196</v>
      </c>
      <c r="AE19" s="378">
        <v>21013.860859085595</v>
      </c>
      <c r="AF19" s="378">
        <v>22810.327826402936</v>
      </c>
      <c r="AG19" s="404">
        <v>24760.374071050792</v>
      </c>
    </row>
    <row r="20" spans="4:33" x14ac:dyDescent="0.15">
      <c r="D20" s="408">
        <v>5</v>
      </c>
      <c r="E20" s="411">
        <v>5</v>
      </c>
      <c r="F20" s="412">
        <v>18</v>
      </c>
      <c r="G20" s="413"/>
      <c r="H20" s="295"/>
      <c r="I20" s="295"/>
      <c r="L20" s="378">
        <v>12799.274399999998</v>
      </c>
      <c r="M20" s="378">
        <v>25941.004847999997</v>
      </c>
      <c r="N20" s="378">
        <v>65428.508019599991</v>
      </c>
      <c r="O20" s="378">
        <v>125811.78358919879</v>
      </c>
      <c r="P20" s="378">
        <v>159132.38705244087</v>
      </c>
      <c r="Q20" s="378">
        <v>218231.412831022</v>
      </c>
      <c r="T20" s="39"/>
      <c r="U20" s="39"/>
      <c r="V20" s="573"/>
      <c r="W20" s="414"/>
      <c r="X20" s="100"/>
      <c r="Y20" s="100"/>
      <c r="Z20" s="39"/>
      <c r="AA20" s="39"/>
      <c r="AB20" s="378">
        <v>9533.8943999999992</v>
      </c>
      <c r="AC20" s="378">
        <v>14729.866847999998</v>
      </c>
      <c r="AD20" s="378">
        <v>22125.487494600002</v>
      </c>
      <c r="AE20" s="378">
        <v>26695.981054198794</v>
      </c>
      <c r="AF20" s="378">
        <v>31520.791288628392</v>
      </c>
      <c r="AG20" s="404">
        <v>34215.491739604404</v>
      </c>
    </row>
    <row r="21" spans="4:33" x14ac:dyDescent="0.15">
      <c r="D21" s="408">
        <v>6</v>
      </c>
      <c r="E21" s="411">
        <v>0</v>
      </c>
      <c r="F21" s="412">
        <v>24</v>
      </c>
      <c r="M21" s="378">
        <v>12711.859199999999</v>
      </c>
      <c r="N21" s="378">
        <v>19639.822463999997</v>
      </c>
      <c r="O21" s="378">
        <v>29500.649992800005</v>
      </c>
      <c r="P21" s="378">
        <v>35594.641405598391</v>
      </c>
      <c r="Q21" s="378">
        <v>42027.721718171189</v>
      </c>
      <c r="T21" s="39"/>
      <c r="U21" s="39"/>
      <c r="V21" s="574"/>
      <c r="W21" s="406"/>
      <c r="X21" s="39"/>
      <c r="Y21" s="39"/>
      <c r="Z21" s="39"/>
      <c r="AA21" s="39"/>
      <c r="AB21" s="39"/>
      <c r="AC21" s="378">
        <v>12711.859199999999</v>
      </c>
      <c r="AD21" s="378">
        <v>19639.822463999997</v>
      </c>
      <c r="AE21" s="378">
        <v>29500.649992800005</v>
      </c>
      <c r="AF21" s="378">
        <v>35594.641405598391</v>
      </c>
      <c r="AG21" s="404">
        <v>42027.721718171189</v>
      </c>
    </row>
    <row r="22" spans="4:33" x14ac:dyDescent="0.15">
      <c r="D22" s="408">
        <v>7</v>
      </c>
      <c r="E22" s="415">
        <v>0</v>
      </c>
      <c r="F22" s="416">
        <v>12</v>
      </c>
      <c r="G22" s="31"/>
      <c r="N22" s="378">
        <v>6355.9295999999995</v>
      </c>
      <c r="O22" s="378">
        <v>9819.9112319999986</v>
      </c>
      <c r="P22" s="378">
        <v>14750.324996400002</v>
      </c>
      <c r="Q22" s="378">
        <v>17797.320702799196</v>
      </c>
      <c r="T22" s="39"/>
      <c r="U22" s="39"/>
      <c r="V22" s="574"/>
      <c r="W22" s="417"/>
      <c r="X22" s="39"/>
      <c r="Y22" s="39"/>
      <c r="Z22" s="39"/>
      <c r="AA22" s="39"/>
      <c r="AB22" s="39"/>
      <c r="AC22" s="39"/>
      <c r="AD22" s="378">
        <v>6355.9295999999995</v>
      </c>
      <c r="AE22" s="378">
        <v>9819.9112319999986</v>
      </c>
      <c r="AF22" s="378">
        <v>14750.324996400002</v>
      </c>
      <c r="AG22" s="404">
        <v>17797.320702799196</v>
      </c>
    </row>
    <row r="23" spans="4:33" hidden="1" outlineLevel="1" x14ac:dyDescent="0.15">
      <c r="D23" s="408">
        <v>8</v>
      </c>
      <c r="E23" s="415">
        <v>0</v>
      </c>
      <c r="F23" s="416">
        <v>0</v>
      </c>
      <c r="O23" s="378">
        <v>0</v>
      </c>
      <c r="P23" s="378">
        <v>0</v>
      </c>
      <c r="Q23" s="378">
        <v>0</v>
      </c>
      <c r="R23" s="33"/>
      <c r="S23" s="33"/>
      <c r="T23" s="39"/>
      <c r="U23" s="39"/>
      <c r="V23" s="574"/>
      <c r="W23" s="406"/>
      <c r="X23" s="39"/>
      <c r="Y23" s="39"/>
      <c r="Z23" s="39"/>
      <c r="AA23" s="39"/>
      <c r="AB23" s="39"/>
      <c r="AC23" s="39"/>
      <c r="AD23" s="39"/>
      <c r="AE23" s="378">
        <v>0</v>
      </c>
      <c r="AF23" s="378">
        <v>0</v>
      </c>
      <c r="AG23" s="404">
        <v>0</v>
      </c>
    </row>
    <row r="24" spans="4:33" hidden="1" outlineLevel="1" x14ac:dyDescent="0.15">
      <c r="D24" s="408">
        <v>9</v>
      </c>
      <c r="E24" s="415">
        <v>0</v>
      </c>
      <c r="F24" s="416">
        <v>0</v>
      </c>
      <c r="P24" s="378">
        <v>0</v>
      </c>
      <c r="Q24" s="378">
        <v>0</v>
      </c>
      <c r="R24" s="33"/>
      <c r="S24" s="33"/>
      <c r="T24" s="39"/>
      <c r="U24" s="39"/>
      <c r="V24" s="39"/>
      <c r="W24" s="406"/>
      <c r="X24" s="39"/>
      <c r="Y24" s="39"/>
      <c r="Z24" s="39"/>
      <c r="AA24" s="39"/>
      <c r="AB24" s="39"/>
      <c r="AC24" s="39"/>
      <c r="AD24" s="39"/>
      <c r="AE24" s="39"/>
      <c r="AF24" s="378">
        <v>0</v>
      </c>
      <c r="AG24" s="404">
        <v>0</v>
      </c>
    </row>
    <row r="25" spans="4:33" hidden="1" outlineLevel="1" x14ac:dyDescent="0.15">
      <c r="D25" s="408">
        <v>10</v>
      </c>
      <c r="E25" s="418">
        <v>0</v>
      </c>
      <c r="F25" s="419">
        <v>0</v>
      </c>
      <c r="H25" s="420"/>
      <c r="I25" s="420"/>
      <c r="J25" s="420"/>
      <c r="K25" s="420"/>
      <c r="L25" s="420"/>
      <c r="M25" s="420"/>
      <c r="Q25" s="378">
        <v>0</v>
      </c>
      <c r="R25" s="33"/>
      <c r="S25" s="33"/>
      <c r="T25" s="33"/>
      <c r="U25" s="18"/>
      <c r="V25" s="39"/>
      <c r="W25" s="406"/>
      <c r="X25" s="420"/>
      <c r="Y25" s="420"/>
      <c r="Z25" s="420"/>
      <c r="AA25" s="420"/>
      <c r="AB25" s="420"/>
      <c r="AC25" s="420"/>
      <c r="AD25" s="39"/>
      <c r="AE25" s="39"/>
      <c r="AF25" s="39"/>
      <c r="AG25" s="404">
        <v>0</v>
      </c>
    </row>
    <row r="26" spans="4:33" collapsed="1" x14ac:dyDescent="0.15">
      <c r="D26" s="408" t="s">
        <v>340</v>
      </c>
      <c r="E26" s="421">
        <v>12</v>
      </c>
      <c r="F26" s="422">
        <v>76</v>
      </c>
      <c r="H26" s="423">
        <v>1712.3975999999998</v>
      </c>
      <c r="I26" s="423">
        <v>4938.2010719999998</v>
      </c>
      <c r="J26" s="423">
        <v>17239.760276399997</v>
      </c>
      <c r="K26" s="423">
        <v>43610.412539533201</v>
      </c>
      <c r="L26" s="423">
        <v>88275.316153276624</v>
      </c>
      <c r="M26" s="423">
        <v>180697.80249566457</v>
      </c>
      <c r="N26" s="423">
        <v>305649.10783064092</v>
      </c>
      <c r="O26" s="423">
        <v>435846.22828851204</v>
      </c>
      <c r="P26" s="423">
        <v>557706.3599526101</v>
      </c>
      <c r="Q26" s="423">
        <v>694311.59607662144</v>
      </c>
      <c r="W26" s="406"/>
      <c r="X26" s="423">
        <v>1059.3216</v>
      </c>
      <c r="Y26" s="423">
        <v>2695.9734719999997</v>
      </c>
      <c r="Z26" s="423">
        <v>7273.0041713999999</v>
      </c>
      <c r="AA26" s="423">
        <v>16690.4928325332</v>
      </c>
      <c r="AB26" s="423">
        <v>33197.498390514127</v>
      </c>
      <c r="AC26" s="423">
        <v>58394.74284338102</v>
      </c>
      <c r="AD26" s="423">
        <v>84353.941007184287</v>
      </c>
      <c r="AE26" s="423">
        <v>107041.8175676274</v>
      </c>
      <c r="AF26" s="423">
        <v>126398.2681501429</v>
      </c>
      <c r="AG26" s="424">
        <v>142380.11199094224</v>
      </c>
    </row>
    <row r="27" spans="4:33" x14ac:dyDescent="0.15">
      <c r="H27" s="30"/>
      <c r="I27" s="30"/>
      <c r="J27" s="30"/>
      <c r="K27" s="30"/>
      <c r="L27" s="30"/>
      <c r="M27" s="30"/>
      <c r="N27" s="30"/>
      <c r="O27" s="30"/>
      <c r="P27" s="30"/>
      <c r="Q27" s="30"/>
      <c r="W27" s="400" t="s">
        <v>341</v>
      </c>
      <c r="X27" s="30"/>
      <c r="Y27" s="30"/>
      <c r="Z27" s="30"/>
      <c r="AA27" s="30"/>
      <c r="AB27" s="30"/>
      <c r="AC27" s="30"/>
      <c r="AD27" s="30"/>
      <c r="AE27" s="30"/>
      <c r="AF27" s="30"/>
      <c r="AG27" s="425"/>
    </row>
    <row r="28" spans="4:33" x14ac:dyDescent="0.15">
      <c r="D28" s="40" t="s">
        <v>341</v>
      </c>
      <c r="G28" s="81" t="s">
        <v>337</v>
      </c>
      <c r="H28" s="32">
        <v>-460.93927400000001</v>
      </c>
      <c r="I28" s="32">
        <v>-434.74217041442603</v>
      </c>
      <c r="J28" s="32">
        <v>458.0776943341657</v>
      </c>
      <c r="K28" s="32">
        <v>952.44357284340731</v>
      </c>
      <c r="L28" s="32">
        <v>2314.1461000358804</v>
      </c>
      <c r="M28" s="32">
        <v>3454.0736762517445</v>
      </c>
      <c r="N28" s="32">
        <v>4619.711971649398</v>
      </c>
      <c r="O28" s="32">
        <v>5396.0316638787717</v>
      </c>
      <c r="P28" s="32">
        <v>6291.7916751746452</v>
      </c>
      <c r="Q28" s="32">
        <v>7324.4965479728744</v>
      </c>
      <c r="W28" s="402" t="s">
        <v>337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403">
        <v>0</v>
      </c>
    </row>
    <row r="29" spans="4:33" x14ac:dyDescent="0.15">
      <c r="D29" s="40"/>
      <c r="G29" s="81" t="s">
        <v>338</v>
      </c>
      <c r="H29" s="51">
        <v>9.6325558230292359</v>
      </c>
      <c r="I29" s="51">
        <v>27.773370123192421</v>
      </c>
      <c r="J29" s="51">
        <v>88.119181251425687</v>
      </c>
      <c r="K29" s="51">
        <v>135.78732886847521</v>
      </c>
      <c r="L29" s="51">
        <v>178.83380864689951</v>
      </c>
      <c r="M29" s="51">
        <v>198.9314087432947</v>
      </c>
      <c r="N29" s="51">
        <v>221.00623122028344</v>
      </c>
      <c r="O29" s="51">
        <v>245.24126592540028</v>
      </c>
      <c r="P29" s="51">
        <v>271.83589839614393</v>
      </c>
      <c r="Q29" s="51">
        <v>301.00735203179465</v>
      </c>
      <c r="W29" s="402" t="s">
        <v>338</v>
      </c>
      <c r="X29" s="378">
        <v>9.6325558230292359</v>
      </c>
      <c r="Y29" s="378">
        <v>27.773370123192421</v>
      </c>
      <c r="Z29" s="378">
        <v>88.119181251425687</v>
      </c>
      <c r="AA29" s="378">
        <v>135.78732886847521</v>
      </c>
      <c r="AB29" s="378">
        <v>178.83380864689951</v>
      </c>
      <c r="AC29" s="378">
        <v>198.9314087432947</v>
      </c>
      <c r="AD29" s="378">
        <v>221.00623122028344</v>
      </c>
      <c r="AE29" s="378">
        <v>245.24126592540028</v>
      </c>
      <c r="AF29" s="378">
        <v>271.83589839614393</v>
      </c>
      <c r="AG29" s="404">
        <v>301.00735203179465</v>
      </c>
    </row>
    <row r="30" spans="4:33" x14ac:dyDescent="0.15">
      <c r="E30" s="81" t="s">
        <v>337</v>
      </c>
      <c r="H30" s="33"/>
      <c r="I30" s="33"/>
      <c r="J30" s="33"/>
      <c r="K30" s="33"/>
      <c r="L30" s="33"/>
      <c r="M30" s="33"/>
      <c r="N30" s="33"/>
      <c r="O30" s="33"/>
      <c r="P30" s="33"/>
      <c r="Q30" s="33"/>
      <c r="W30" s="406"/>
      <c r="X30" s="33"/>
      <c r="Y30" s="33"/>
      <c r="Z30" s="33"/>
      <c r="AA30" s="33"/>
      <c r="AB30" s="33"/>
      <c r="AC30" s="33"/>
      <c r="AD30" s="33"/>
      <c r="AE30" s="33"/>
      <c r="AF30" s="33"/>
      <c r="AG30" s="403"/>
    </row>
    <row r="31" spans="4:33" x14ac:dyDescent="0.15">
      <c r="D31" s="408">
        <v>1</v>
      </c>
      <c r="E31" s="33">
        <v>1</v>
      </c>
      <c r="F31" s="33"/>
      <c r="H31" s="33">
        <v>-441.67416235394154</v>
      </c>
      <c r="I31" s="33">
        <v>-379.19543016804118</v>
      </c>
      <c r="J31" s="33">
        <v>634.31605683701707</v>
      </c>
      <c r="K31" s="33">
        <v>1224.0182305803578</v>
      </c>
      <c r="L31" s="33">
        <v>2671.8137173296795</v>
      </c>
      <c r="M31" s="33">
        <v>3851.9364937383339</v>
      </c>
      <c r="N31" s="33">
        <v>5061.7244340899651</v>
      </c>
      <c r="O31" s="33">
        <v>5886.5141957295727</v>
      </c>
      <c r="P31" s="33">
        <v>6835.463471966933</v>
      </c>
      <c r="Q31" s="33">
        <v>7926.5112520364637</v>
      </c>
      <c r="W31" s="406"/>
      <c r="X31" s="33">
        <v>19.265111646058472</v>
      </c>
      <c r="Y31" s="33">
        <v>55.546740246384843</v>
      </c>
      <c r="Z31" s="33">
        <v>176.23836250285137</v>
      </c>
      <c r="AA31" s="33">
        <v>271.57465773695043</v>
      </c>
      <c r="AB31" s="33">
        <v>357.66761729379903</v>
      </c>
      <c r="AC31" s="33">
        <v>397.86281748658939</v>
      </c>
      <c r="AD31" s="33">
        <v>442.01246244056688</v>
      </c>
      <c r="AE31" s="33">
        <v>490.48253185080057</v>
      </c>
      <c r="AF31" s="33">
        <v>543.67179679228786</v>
      </c>
      <c r="AG31" s="403">
        <v>602.01470406358931</v>
      </c>
    </row>
    <row r="32" spans="4:33" x14ac:dyDescent="0.15">
      <c r="D32" s="408">
        <v>2</v>
      </c>
      <c r="E32" s="33">
        <v>0</v>
      </c>
      <c r="F32" s="33"/>
      <c r="I32" s="33">
        <v>19.265111646058472</v>
      </c>
      <c r="J32" s="33">
        <v>55.546740246384843</v>
      </c>
      <c r="K32" s="33">
        <v>176.23836250285137</v>
      </c>
      <c r="L32" s="33">
        <v>271.57465773695043</v>
      </c>
      <c r="M32" s="33">
        <v>357.66761729379903</v>
      </c>
      <c r="N32" s="33">
        <v>397.86281748658939</v>
      </c>
      <c r="O32" s="33">
        <v>442.01246244056688</v>
      </c>
      <c r="P32" s="33">
        <v>490.48253185080057</v>
      </c>
      <c r="Q32" s="33">
        <v>543.67179679228786</v>
      </c>
      <c r="W32" s="406"/>
      <c r="X32" s="39"/>
      <c r="Y32" s="33">
        <v>19.265111646058472</v>
      </c>
      <c r="Z32" s="33">
        <v>55.546740246384843</v>
      </c>
      <c r="AA32" s="33">
        <v>176.23836250285137</v>
      </c>
      <c r="AB32" s="33">
        <v>271.57465773695043</v>
      </c>
      <c r="AC32" s="33">
        <v>357.66761729379903</v>
      </c>
      <c r="AD32" s="33">
        <v>397.86281748658939</v>
      </c>
      <c r="AE32" s="33">
        <v>442.01246244056688</v>
      </c>
      <c r="AF32" s="33">
        <v>490.48253185080057</v>
      </c>
      <c r="AG32" s="403">
        <v>543.67179679228786</v>
      </c>
    </row>
    <row r="33" spans="4:33" x14ac:dyDescent="0.15">
      <c r="D33" s="408">
        <v>3</v>
      </c>
      <c r="E33" s="33">
        <v>2</v>
      </c>
      <c r="F33" s="33"/>
      <c r="J33" s="33">
        <v>-864.08321306182461</v>
      </c>
      <c r="K33" s="33">
        <v>-702.84412008969753</v>
      </c>
      <c r="L33" s="33">
        <v>1444.8704761768854</v>
      </c>
      <c r="M33" s="33">
        <v>2719.6111188976656</v>
      </c>
      <c r="N33" s="33">
        <v>5701.2950519531578</v>
      </c>
      <c r="O33" s="33">
        <v>8101.7358049632567</v>
      </c>
      <c r="P33" s="33">
        <v>10565.461330620497</v>
      </c>
      <c r="Q33" s="33">
        <v>12263.510923309945</v>
      </c>
      <c r="W33" s="406"/>
      <c r="X33" s="39"/>
      <c r="Y33" s="39"/>
      <c r="Z33" s="33">
        <v>57.795334938175415</v>
      </c>
      <c r="AA33" s="33">
        <v>166.64022073915453</v>
      </c>
      <c r="AB33" s="33">
        <v>528.71508750855412</v>
      </c>
      <c r="AC33" s="33">
        <v>814.72397321085123</v>
      </c>
      <c r="AD33" s="33">
        <v>1073.002851881397</v>
      </c>
      <c r="AE33" s="33">
        <v>1193.5884524597682</v>
      </c>
      <c r="AF33" s="33">
        <v>1326.0373873217006</v>
      </c>
      <c r="AG33" s="403">
        <v>1471.4475955524017</v>
      </c>
    </row>
    <row r="34" spans="4:33" x14ac:dyDescent="0.15">
      <c r="D34" s="408">
        <v>4</v>
      </c>
      <c r="E34" s="33">
        <v>4</v>
      </c>
      <c r="F34" s="33"/>
      <c r="K34" s="378">
        <v>-1728.1664261236492</v>
      </c>
      <c r="L34" s="378">
        <v>-1405.6882401793951</v>
      </c>
      <c r="M34" s="378">
        <v>2889.7409523537708</v>
      </c>
      <c r="N34" s="378">
        <v>5439.2222377953312</v>
      </c>
      <c r="O34" s="378">
        <v>11402.590103906316</v>
      </c>
      <c r="P34" s="378">
        <v>16203.471609926513</v>
      </c>
      <c r="Q34" s="378">
        <v>21130.922661240995</v>
      </c>
      <c r="W34" s="406"/>
      <c r="X34" s="39"/>
      <c r="Y34" s="39"/>
      <c r="Z34" s="39"/>
      <c r="AA34" s="378">
        <v>115.59066987635083</v>
      </c>
      <c r="AB34" s="378">
        <v>333.28044147830906</v>
      </c>
      <c r="AC34" s="378">
        <v>1057.4301750171082</v>
      </c>
      <c r="AD34" s="378">
        <v>1629.4479464217025</v>
      </c>
      <c r="AE34" s="378">
        <v>2146.0057037627939</v>
      </c>
      <c r="AF34" s="378">
        <v>2387.1769049195364</v>
      </c>
      <c r="AG34" s="404">
        <v>2652.0747746434013</v>
      </c>
    </row>
    <row r="35" spans="4:33" x14ac:dyDescent="0.15">
      <c r="D35" s="408">
        <v>5</v>
      </c>
      <c r="E35" s="33">
        <v>5</v>
      </c>
      <c r="F35" s="33"/>
      <c r="H35" s="295"/>
      <c r="I35" s="295"/>
      <c r="L35" s="378">
        <v>-2131.310365185474</v>
      </c>
      <c r="M35" s="378">
        <v>-1673.7901898546668</v>
      </c>
      <c r="N35" s="378">
        <v>3876.533734196491</v>
      </c>
      <c r="O35" s="378">
        <v>7206.3897838495905</v>
      </c>
      <c r="P35" s="378">
        <v>14789.739055823593</v>
      </c>
      <c r="Q35" s="378">
        <v>20851.133738638026</v>
      </c>
      <c r="W35" s="406"/>
      <c r="X35" s="100"/>
      <c r="Y35" s="100"/>
      <c r="Z35" s="39"/>
      <c r="AA35" s="39"/>
      <c r="AB35" s="378">
        <v>173.38600481452625</v>
      </c>
      <c r="AC35" s="378">
        <v>499.92066221746359</v>
      </c>
      <c r="AD35" s="378">
        <v>1586.1452625256625</v>
      </c>
      <c r="AE35" s="378">
        <v>2444.1719196325539</v>
      </c>
      <c r="AF35" s="378">
        <v>3219.0085556441913</v>
      </c>
      <c r="AG35" s="404">
        <v>3580.7653573793045</v>
      </c>
    </row>
    <row r="36" spans="4:33" x14ac:dyDescent="0.15">
      <c r="D36" s="408">
        <v>6</v>
      </c>
      <c r="E36" s="33">
        <v>0</v>
      </c>
      <c r="F36" s="33"/>
      <c r="M36" s="378">
        <v>231.18133975270166</v>
      </c>
      <c r="N36" s="378">
        <v>666.56088295661812</v>
      </c>
      <c r="O36" s="378">
        <v>2114.8603500342165</v>
      </c>
      <c r="P36" s="378">
        <v>3258.8958928434049</v>
      </c>
      <c r="Q36" s="378">
        <v>4292.0114075255879</v>
      </c>
      <c r="W36" s="406"/>
      <c r="X36" s="39"/>
      <c r="Y36" s="39"/>
      <c r="Z36" s="39"/>
      <c r="AA36" s="39"/>
      <c r="AB36" s="39"/>
      <c r="AC36" s="378">
        <v>231.18133975270166</v>
      </c>
      <c r="AD36" s="378">
        <v>666.56088295661812</v>
      </c>
      <c r="AE36" s="378">
        <v>2114.8603500342165</v>
      </c>
      <c r="AF36" s="378">
        <v>3258.8958928434049</v>
      </c>
      <c r="AG36" s="404">
        <v>4292.0114075255879</v>
      </c>
    </row>
    <row r="37" spans="4:33" x14ac:dyDescent="0.15">
      <c r="D37" s="408">
        <v>7</v>
      </c>
      <c r="E37" s="33">
        <v>0</v>
      </c>
      <c r="F37" s="33"/>
      <c r="G37" s="31"/>
      <c r="N37" s="378">
        <v>115.59066987635083</v>
      </c>
      <c r="O37" s="378">
        <v>333.28044147830906</v>
      </c>
      <c r="P37" s="378">
        <v>1057.4301750171082</v>
      </c>
      <c r="Q37" s="378">
        <v>1629.4479464217025</v>
      </c>
      <c r="W37" s="417"/>
      <c r="X37" s="39"/>
      <c r="Y37" s="39"/>
      <c r="Z37" s="39"/>
      <c r="AA37" s="39"/>
      <c r="AB37" s="39"/>
      <c r="AC37" s="39"/>
      <c r="AD37" s="378">
        <v>115.59066987635083</v>
      </c>
      <c r="AE37" s="378">
        <v>333.28044147830906</v>
      </c>
      <c r="AF37" s="378">
        <v>1057.4301750171082</v>
      </c>
      <c r="AG37" s="404">
        <v>1629.4479464217025</v>
      </c>
    </row>
    <row r="38" spans="4:33" ht="12.75" hidden="1" customHeight="1" outlineLevel="1" x14ac:dyDescent="0.15">
      <c r="D38" s="408">
        <v>8</v>
      </c>
      <c r="E38" s="33">
        <v>0</v>
      </c>
      <c r="F38" s="33"/>
      <c r="O38" s="378">
        <v>0</v>
      </c>
      <c r="P38" s="378">
        <v>0</v>
      </c>
      <c r="Q38" s="378">
        <v>0</v>
      </c>
      <c r="W38" s="406"/>
      <c r="X38" s="39"/>
      <c r="Y38" s="39"/>
      <c r="Z38" s="39"/>
      <c r="AA38" s="39"/>
      <c r="AB38" s="39"/>
      <c r="AC38" s="39"/>
      <c r="AD38" s="39"/>
      <c r="AE38" s="378">
        <v>0</v>
      </c>
      <c r="AF38" s="378">
        <v>0</v>
      </c>
      <c r="AG38" s="404">
        <v>0</v>
      </c>
    </row>
    <row r="39" spans="4:33" ht="12.75" hidden="1" customHeight="1" outlineLevel="1" x14ac:dyDescent="0.15">
      <c r="D39" s="408">
        <v>9</v>
      </c>
      <c r="E39" s="33">
        <v>0</v>
      </c>
      <c r="F39" s="33"/>
      <c r="P39" s="378">
        <v>0</v>
      </c>
      <c r="Q39" s="378">
        <v>0</v>
      </c>
      <c r="W39" s="406"/>
      <c r="X39" s="39"/>
      <c r="Y39" s="39"/>
      <c r="Z39" s="39"/>
      <c r="AA39" s="39"/>
      <c r="AB39" s="39"/>
      <c r="AC39" s="39"/>
      <c r="AD39" s="39"/>
      <c r="AE39" s="39"/>
      <c r="AF39" s="378">
        <v>0</v>
      </c>
      <c r="AG39" s="404">
        <v>0</v>
      </c>
    </row>
    <row r="40" spans="4:33" ht="12.75" hidden="1" customHeight="1" outlineLevel="1" x14ac:dyDescent="0.15">
      <c r="D40" s="408">
        <v>10</v>
      </c>
      <c r="E40" s="33">
        <v>0</v>
      </c>
      <c r="F40" s="33"/>
      <c r="H40" s="420"/>
      <c r="I40" s="420"/>
      <c r="J40" s="420"/>
      <c r="K40" s="420"/>
      <c r="L40" s="420"/>
      <c r="M40" s="420"/>
      <c r="Q40" s="378">
        <v>0</v>
      </c>
      <c r="W40" s="406"/>
      <c r="X40" s="420"/>
      <c r="Y40" s="420"/>
      <c r="Z40" s="420"/>
      <c r="AA40" s="420"/>
      <c r="AB40" s="420"/>
      <c r="AC40" s="420"/>
      <c r="AD40" s="39"/>
      <c r="AE40" s="39"/>
      <c r="AF40" s="39"/>
      <c r="AG40" s="404">
        <v>0</v>
      </c>
    </row>
    <row r="41" spans="4:33" ht="14" collapsed="1" thickBot="1" x14ac:dyDescent="0.2">
      <c r="D41" s="408" t="s">
        <v>340</v>
      </c>
      <c r="E41" s="423"/>
      <c r="H41" s="423">
        <v>-441.67416235394154</v>
      </c>
      <c r="I41" s="423">
        <v>-359.93031852198271</v>
      </c>
      <c r="J41" s="423">
        <v>-174.22041597842269</v>
      </c>
      <c r="K41" s="423">
        <v>-1030.7539531301375</v>
      </c>
      <c r="L41" s="423">
        <v>851.26024587864686</v>
      </c>
      <c r="M41" s="423">
        <v>8376.3473321816036</v>
      </c>
      <c r="N41" s="423">
        <v>21258.789828354507</v>
      </c>
      <c r="O41" s="423">
        <v>35487.383142401828</v>
      </c>
      <c r="P41" s="423">
        <v>53200.944068048848</v>
      </c>
      <c r="Q41" s="423">
        <v>68637.209725965004</v>
      </c>
      <c r="W41" s="59"/>
      <c r="X41" s="426">
        <v>19.265111646058472</v>
      </c>
      <c r="Y41" s="426">
        <v>74.811851892443315</v>
      </c>
      <c r="Z41" s="426">
        <v>289.58043768741163</v>
      </c>
      <c r="AA41" s="426">
        <v>730.0439108553071</v>
      </c>
      <c r="AB41" s="426">
        <v>1664.6238088321388</v>
      </c>
      <c r="AC41" s="426">
        <v>3358.7865849785126</v>
      </c>
      <c r="AD41" s="426">
        <v>5910.6228935888876</v>
      </c>
      <c r="AE41" s="426">
        <v>9164.4018616590092</v>
      </c>
      <c r="AF41" s="426">
        <v>12282.703244389029</v>
      </c>
      <c r="AG41" s="427">
        <v>14771.433582378275</v>
      </c>
    </row>
    <row r="42" spans="4:33" x14ac:dyDescent="0.15"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4:33" x14ac:dyDescent="0.15">
      <c r="D43" s="40" t="s">
        <v>20</v>
      </c>
      <c r="G43" s="81" t="s">
        <v>337</v>
      </c>
      <c r="H43" s="32">
        <v>144.66800000000001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</row>
    <row r="44" spans="4:33" x14ac:dyDescent="0.15">
      <c r="D44" s="40"/>
      <c r="G44" s="81" t="s">
        <v>338</v>
      </c>
      <c r="H44" s="32">
        <v>10.091955128205129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</row>
    <row r="45" spans="4:33" x14ac:dyDescent="0.15">
      <c r="E45" s="81" t="s">
        <v>337</v>
      </c>
      <c r="H45" s="33"/>
      <c r="I45" s="33"/>
      <c r="J45" s="33"/>
      <c r="K45" s="33"/>
      <c r="L45" s="33"/>
      <c r="M45" s="33"/>
      <c r="N45" s="33"/>
      <c r="O45" s="33"/>
      <c r="P45" s="33"/>
      <c r="Q45" s="33"/>
    </row>
    <row r="46" spans="4:33" x14ac:dyDescent="0.15">
      <c r="D46" s="408">
        <v>1</v>
      </c>
      <c r="E46" s="33">
        <v>1</v>
      </c>
      <c r="F46" s="33"/>
      <c r="H46" s="33">
        <v>164.85191025641026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</row>
    <row r="47" spans="4:33" x14ac:dyDescent="0.15">
      <c r="D47" s="408">
        <v>2</v>
      </c>
      <c r="E47" s="33">
        <v>0</v>
      </c>
      <c r="F47" s="33"/>
      <c r="I47" s="33">
        <v>20.183910256410257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</row>
    <row r="48" spans="4:33" x14ac:dyDescent="0.15">
      <c r="D48" s="408">
        <v>3</v>
      </c>
      <c r="E48" s="33">
        <v>2</v>
      </c>
      <c r="F48" s="33"/>
      <c r="J48" s="33">
        <v>349.88773076923076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</row>
    <row r="49" spans="4:17" x14ac:dyDescent="0.15">
      <c r="D49" s="408">
        <v>4</v>
      </c>
      <c r="E49" s="33">
        <v>4</v>
      </c>
      <c r="F49" s="33"/>
      <c r="K49" s="378">
        <v>699.77546153846151</v>
      </c>
      <c r="L49" s="378">
        <v>0</v>
      </c>
      <c r="M49" s="378">
        <v>0</v>
      </c>
      <c r="N49" s="378">
        <v>0</v>
      </c>
      <c r="O49" s="378">
        <v>0</v>
      </c>
      <c r="P49" s="378">
        <v>0</v>
      </c>
      <c r="Q49" s="378">
        <v>0</v>
      </c>
    </row>
    <row r="50" spans="4:17" x14ac:dyDescent="0.15">
      <c r="D50" s="408">
        <v>5</v>
      </c>
      <c r="E50" s="33">
        <v>5</v>
      </c>
      <c r="F50" s="33"/>
      <c r="H50" s="295"/>
      <c r="I50" s="295"/>
      <c r="L50" s="378">
        <v>904.99519230769238</v>
      </c>
      <c r="M50" s="378">
        <v>0</v>
      </c>
      <c r="N50" s="378">
        <v>0</v>
      </c>
      <c r="O50" s="378">
        <v>0</v>
      </c>
      <c r="P50" s="378">
        <v>0</v>
      </c>
      <c r="Q50" s="378">
        <v>0</v>
      </c>
    </row>
    <row r="51" spans="4:17" x14ac:dyDescent="0.15">
      <c r="D51" s="408">
        <v>6</v>
      </c>
      <c r="E51" s="33">
        <v>0</v>
      </c>
      <c r="F51" s="33"/>
      <c r="M51" s="378">
        <v>242.20692307692309</v>
      </c>
      <c r="N51" s="378">
        <v>0</v>
      </c>
      <c r="O51" s="378">
        <v>0</v>
      </c>
      <c r="P51" s="378">
        <v>0</v>
      </c>
      <c r="Q51" s="378">
        <v>0</v>
      </c>
    </row>
    <row r="52" spans="4:17" x14ac:dyDescent="0.15">
      <c r="D52" s="408">
        <v>7</v>
      </c>
      <c r="E52" s="33">
        <v>0</v>
      </c>
      <c r="F52" s="33"/>
      <c r="N52" s="378">
        <v>121.10346153846154</v>
      </c>
      <c r="O52" s="378">
        <v>0</v>
      </c>
      <c r="P52" s="378">
        <v>0</v>
      </c>
      <c r="Q52" s="378">
        <v>0</v>
      </c>
    </row>
    <row r="53" spans="4:17" hidden="1" outlineLevel="1" x14ac:dyDescent="0.15">
      <c r="D53" s="408">
        <v>8</v>
      </c>
      <c r="E53" s="33">
        <v>0</v>
      </c>
      <c r="F53" s="33"/>
      <c r="O53" s="378">
        <v>0</v>
      </c>
      <c r="P53" s="378">
        <v>0</v>
      </c>
      <c r="Q53" s="378">
        <v>0</v>
      </c>
    </row>
    <row r="54" spans="4:17" hidden="1" outlineLevel="1" x14ac:dyDescent="0.15">
      <c r="D54" s="408">
        <v>9</v>
      </c>
      <c r="E54" s="33">
        <v>0</v>
      </c>
      <c r="F54" s="33"/>
      <c r="G54" s="20"/>
      <c r="P54" s="378">
        <v>0</v>
      </c>
      <c r="Q54" s="378">
        <v>0</v>
      </c>
    </row>
    <row r="55" spans="4:17" hidden="1" outlineLevel="1" x14ac:dyDescent="0.15">
      <c r="D55" s="408">
        <v>10</v>
      </c>
      <c r="E55" s="33">
        <v>0</v>
      </c>
      <c r="F55" s="33"/>
      <c r="G55" s="41"/>
      <c r="H55" s="420"/>
      <c r="I55" s="420"/>
      <c r="J55" s="420"/>
      <c r="K55" s="420"/>
      <c r="L55" s="420"/>
      <c r="M55" s="420"/>
      <c r="Q55" s="378">
        <v>0</v>
      </c>
    </row>
    <row r="56" spans="4:17" collapsed="1" x14ac:dyDescent="0.15">
      <c r="D56" s="408" t="s">
        <v>340</v>
      </c>
      <c r="E56" s="423"/>
      <c r="G56" s="31"/>
      <c r="H56" s="423">
        <v>164.85191025641026</v>
      </c>
      <c r="I56" s="423">
        <v>20.183910256410257</v>
      </c>
      <c r="J56" s="423">
        <v>349.88773076923076</v>
      </c>
      <c r="K56" s="423">
        <v>699.77546153846151</v>
      </c>
      <c r="L56" s="423">
        <v>904.99519230769238</v>
      </c>
      <c r="M56" s="423">
        <v>242.20692307692309</v>
      </c>
      <c r="N56" s="423">
        <v>121.10346153846154</v>
      </c>
      <c r="O56" s="423">
        <v>0</v>
      </c>
      <c r="P56" s="423">
        <v>0</v>
      </c>
      <c r="Q56" s="423">
        <v>0</v>
      </c>
    </row>
    <row r="59" spans="4:17" ht="18" x14ac:dyDescent="0.2">
      <c r="D59" s="16" t="s">
        <v>342</v>
      </c>
    </row>
    <row r="60" spans="4:17" x14ac:dyDescent="0.15">
      <c r="D60" s="19" t="s">
        <v>1</v>
      </c>
    </row>
    <row r="61" spans="4:17" x14ac:dyDescent="0.15">
      <c r="H61" s="22" t="s">
        <v>2</v>
      </c>
      <c r="I61" s="22"/>
      <c r="J61" s="22"/>
      <c r="K61" s="22"/>
      <c r="L61" s="22"/>
      <c r="M61" s="22"/>
      <c r="N61" s="22"/>
      <c r="O61" s="22"/>
      <c r="P61" s="22"/>
      <c r="Q61" s="22"/>
    </row>
    <row r="62" spans="4:17" x14ac:dyDescent="0.15">
      <c r="G62" s="41">
        <v>0</v>
      </c>
      <c r="H62" s="25">
        <v>1</v>
      </c>
      <c r="I62" s="25">
        <v>2</v>
      </c>
      <c r="J62" s="25">
        <v>3</v>
      </c>
      <c r="K62" s="25">
        <v>4</v>
      </c>
      <c r="L62" s="25">
        <v>5</v>
      </c>
      <c r="M62" s="25">
        <v>6</v>
      </c>
      <c r="N62" s="25">
        <v>7</v>
      </c>
      <c r="O62" s="25">
        <v>8</v>
      </c>
      <c r="P62" s="25">
        <v>9</v>
      </c>
      <c r="Q62" s="25">
        <v>10</v>
      </c>
    </row>
    <row r="63" spans="4:17" x14ac:dyDescent="0.15"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4:17" x14ac:dyDescent="0.15">
      <c r="D64" s="428" t="s">
        <v>343</v>
      </c>
      <c r="E64" s="295"/>
      <c r="F64" s="295"/>
      <c r="G64" s="81" t="s">
        <v>337</v>
      </c>
      <c r="H64" s="51">
        <v>7.0526178766832528</v>
      </c>
      <c r="I64" s="51">
        <v>24.213988043279166</v>
      </c>
      <c r="J64" s="51">
        <v>187.05305763433157</v>
      </c>
      <c r="K64" s="51">
        <v>428.14366525191457</v>
      </c>
      <c r="L64" s="51">
        <v>551.23496901183989</v>
      </c>
      <c r="M64" s="51">
        <v>794.88082531507303</v>
      </c>
      <c r="N64" s="51">
        <v>1029.2571143794032</v>
      </c>
      <c r="O64" s="51">
        <v>1166.1483105918642</v>
      </c>
      <c r="P64" s="51">
        <v>1321.246035900582</v>
      </c>
      <c r="Q64" s="51">
        <v>1496.9717586753598</v>
      </c>
    </row>
    <row r="65" spans="4:17" x14ac:dyDescent="0.15">
      <c r="D65" s="428"/>
      <c r="E65" s="295"/>
      <c r="F65" s="295"/>
      <c r="G65" s="81" t="s">
        <v>338</v>
      </c>
      <c r="H65" s="51">
        <v>10</v>
      </c>
      <c r="I65" s="51">
        <v>10</v>
      </c>
      <c r="J65" s="51">
        <v>10</v>
      </c>
      <c r="K65" s="51">
        <v>10</v>
      </c>
      <c r="L65" s="51">
        <v>10</v>
      </c>
      <c r="M65" s="51">
        <v>100</v>
      </c>
      <c r="N65" s="51">
        <v>10</v>
      </c>
      <c r="O65" s="51">
        <v>10</v>
      </c>
      <c r="P65" s="51">
        <v>10</v>
      </c>
      <c r="Q65" s="51">
        <v>10</v>
      </c>
    </row>
    <row r="66" spans="4:17" x14ac:dyDescent="0.15">
      <c r="D66" s="295"/>
      <c r="E66" s="81" t="s">
        <v>337</v>
      </c>
      <c r="F66" s="295"/>
      <c r="G66" s="295"/>
      <c r="H66" s="378"/>
      <c r="I66" s="378"/>
      <c r="J66" s="378"/>
      <c r="K66" s="378"/>
      <c r="L66" s="378"/>
      <c r="M66" s="378"/>
      <c r="N66" s="378"/>
      <c r="O66" s="378"/>
      <c r="P66" s="378"/>
      <c r="Q66" s="378"/>
    </row>
    <row r="67" spans="4:17" x14ac:dyDescent="0.15">
      <c r="D67" s="429">
        <v>1</v>
      </c>
      <c r="E67" s="378">
        <v>1</v>
      </c>
      <c r="F67" s="378"/>
      <c r="G67" s="295"/>
      <c r="H67" s="378">
        <v>27.052617876683254</v>
      </c>
      <c r="I67" s="378">
        <v>44.213988043279166</v>
      </c>
      <c r="J67" s="378">
        <v>207.05305763433157</v>
      </c>
      <c r="K67" s="378">
        <v>448.14366525191457</v>
      </c>
      <c r="L67" s="378">
        <v>571.23496901183989</v>
      </c>
      <c r="M67" s="378">
        <v>994.88082531507303</v>
      </c>
      <c r="N67" s="378">
        <v>1049.2571143794032</v>
      </c>
      <c r="O67" s="378">
        <v>1186.1483105918642</v>
      </c>
      <c r="P67" s="378">
        <v>1341.246035900582</v>
      </c>
      <c r="Q67" s="378">
        <v>1516.9717586753598</v>
      </c>
    </row>
    <row r="68" spans="4:17" x14ac:dyDescent="0.15">
      <c r="D68" s="429">
        <v>2</v>
      </c>
      <c r="E68" s="378">
        <v>0</v>
      </c>
      <c r="F68" s="378"/>
      <c r="G68" s="295"/>
      <c r="H68" s="295"/>
      <c r="I68" s="378">
        <v>20</v>
      </c>
      <c r="J68" s="378">
        <v>20</v>
      </c>
      <c r="K68" s="378">
        <v>20</v>
      </c>
      <c r="L68" s="378">
        <v>20</v>
      </c>
      <c r="M68" s="378">
        <v>20</v>
      </c>
      <c r="N68" s="378">
        <v>200</v>
      </c>
      <c r="O68" s="378">
        <v>20</v>
      </c>
      <c r="P68" s="378">
        <v>20</v>
      </c>
      <c r="Q68" s="378">
        <v>20</v>
      </c>
    </row>
    <row r="69" spans="4:17" x14ac:dyDescent="0.15">
      <c r="D69" s="429">
        <v>3</v>
      </c>
      <c r="E69" s="378">
        <v>2</v>
      </c>
      <c r="F69" s="378"/>
      <c r="G69" s="295"/>
      <c r="H69" s="295"/>
      <c r="I69" s="295"/>
      <c r="J69" s="378">
        <v>74.1052357533665</v>
      </c>
      <c r="K69" s="378">
        <v>108.42797608655833</v>
      </c>
      <c r="L69" s="378">
        <v>434.10611526866313</v>
      </c>
      <c r="M69" s="378">
        <v>916.28733050382914</v>
      </c>
      <c r="N69" s="378">
        <v>1162.4699380236798</v>
      </c>
      <c r="O69" s="378">
        <v>2189.7616506301461</v>
      </c>
      <c r="P69" s="378">
        <v>2118.5142287588064</v>
      </c>
      <c r="Q69" s="378">
        <v>2392.2966211837283</v>
      </c>
    </row>
    <row r="70" spans="4:17" x14ac:dyDescent="0.15">
      <c r="D70" s="429">
        <v>4</v>
      </c>
      <c r="E70" s="378">
        <v>4</v>
      </c>
      <c r="F70" s="378"/>
      <c r="G70" s="295"/>
      <c r="H70" s="295"/>
      <c r="I70" s="295"/>
      <c r="J70" s="295"/>
      <c r="K70" s="378">
        <v>148.210471506733</v>
      </c>
      <c r="L70" s="378">
        <v>216.85595217311666</v>
      </c>
      <c r="M70" s="378">
        <v>868.21223053732626</v>
      </c>
      <c r="N70" s="378">
        <v>1832.5746610076583</v>
      </c>
      <c r="O70" s="378">
        <v>2324.9398760473596</v>
      </c>
      <c r="P70" s="378">
        <v>4379.5233012602921</v>
      </c>
      <c r="Q70" s="378">
        <v>4237.0284575176129</v>
      </c>
    </row>
    <row r="71" spans="4:17" x14ac:dyDescent="0.15">
      <c r="D71" s="429">
        <v>5</v>
      </c>
      <c r="E71" s="378">
        <v>5</v>
      </c>
      <c r="F71" s="378"/>
      <c r="G71" s="295"/>
      <c r="H71" s="295"/>
      <c r="I71" s="295"/>
      <c r="J71" s="295"/>
      <c r="K71" s="295"/>
      <c r="L71" s="378">
        <v>215.26308938341626</v>
      </c>
      <c r="M71" s="378">
        <v>301.06994021639582</v>
      </c>
      <c r="N71" s="378">
        <v>1115.2652881716579</v>
      </c>
      <c r="O71" s="378">
        <v>2320.7183262595727</v>
      </c>
      <c r="P71" s="378">
        <v>2936.1748450591995</v>
      </c>
      <c r="Q71" s="378">
        <v>5774.4041265753649</v>
      </c>
    </row>
    <row r="72" spans="4:17" x14ac:dyDescent="0.15">
      <c r="D72" s="429">
        <v>6</v>
      </c>
      <c r="E72" s="378">
        <v>0</v>
      </c>
      <c r="F72" s="378"/>
      <c r="G72" s="295"/>
      <c r="H72" s="295"/>
      <c r="I72" s="295"/>
      <c r="J72" s="295"/>
      <c r="K72" s="295"/>
      <c r="L72" s="295"/>
      <c r="M72" s="378">
        <v>240</v>
      </c>
      <c r="N72" s="378">
        <v>240</v>
      </c>
      <c r="O72" s="378">
        <v>240</v>
      </c>
      <c r="P72" s="378">
        <v>240</v>
      </c>
      <c r="Q72" s="378">
        <v>240</v>
      </c>
    </row>
    <row r="73" spans="4:17" x14ac:dyDescent="0.15">
      <c r="D73" s="429">
        <v>7</v>
      </c>
      <c r="E73" s="378">
        <v>0</v>
      </c>
      <c r="F73" s="378"/>
      <c r="G73" s="295"/>
      <c r="H73" s="295"/>
      <c r="I73" s="295"/>
      <c r="J73" s="295"/>
      <c r="K73" s="295"/>
      <c r="L73" s="295"/>
      <c r="M73" s="295"/>
      <c r="N73" s="378">
        <v>120</v>
      </c>
      <c r="O73" s="378">
        <v>120</v>
      </c>
      <c r="P73" s="378">
        <v>120</v>
      </c>
      <c r="Q73" s="378">
        <v>120</v>
      </c>
    </row>
    <row r="74" spans="4:17" hidden="1" outlineLevel="1" x14ac:dyDescent="0.15">
      <c r="D74" s="429">
        <v>8</v>
      </c>
      <c r="E74" s="378">
        <v>0</v>
      </c>
      <c r="F74" s="378"/>
      <c r="G74" s="295"/>
      <c r="H74" s="295"/>
      <c r="I74" s="295"/>
      <c r="J74" s="295"/>
      <c r="K74" s="295"/>
      <c r="L74" s="295"/>
      <c r="M74" s="295"/>
      <c r="N74" s="295"/>
      <c r="O74" s="378">
        <v>0</v>
      </c>
      <c r="P74" s="378">
        <v>0</v>
      </c>
      <c r="Q74" s="378">
        <v>0</v>
      </c>
    </row>
    <row r="75" spans="4:17" hidden="1" outlineLevel="1" x14ac:dyDescent="0.15">
      <c r="D75" s="429">
        <v>9</v>
      </c>
      <c r="E75" s="378">
        <v>0</v>
      </c>
      <c r="F75" s="378"/>
      <c r="G75" s="295"/>
      <c r="H75" s="295"/>
      <c r="I75" s="295"/>
      <c r="J75" s="295"/>
      <c r="K75" s="295"/>
      <c r="L75" s="295"/>
      <c r="M75" s="295"/>
      <c r="N75" s="295"/>
      <c r="O75" s="295"/>
      <c r="P75" s="378">
        <v>0</v>
      </c>
      <c r="Q75" s="378">
        <v>0</v>
      </c>
    </row>
    <row r="76" spans="4:17" hidden="1" outlineLevel="1" x14ac:dyDescent="0.15">
      <c r="D76" s="429">
        <v>10</v>
      </c>
      <c r="E76" s="378">
        <v>0</v>
      </c>
      <c r="F76" s="378"/>
      <c r="G76" s="295"/>
      <c r="H76" s="252"/>
      <c r="I76" s="252"/>
      <c r="J76" s="252"/>
      <c r="K76" s="252"/>
      <c r="L76" s="252"/>
      <c r="M76" s="252"/>
      <c r="N76" s="295"/>
      <c r="O76" s="295"/>
      <c r="P76" s="295"/>
      <c r="Q76" s="378">
        <v>0</v>
      </c>
    </row>
    <row r="77" spans="4:17" collapsed="1" x14ac:dyDescent="0.15">
      <c r="D77" s="429" t="s">
        <v>340</v>
      </c>
      <c r="E77" s="430"/>
      <c r="F77" s="295"/>
      <c r="G77" s="295"/>
      <c r="H77" s="430">
        <v>27.052617876683254</v>
      </c>
      <c r="I77" s="430">
        <v>64.213988043279159</v>
      </c>
      <c r="J77" s="430">
        <v>301.15829338769805</v>
      </c>
      <c r="K77" s="430">
        <v>724.78211284520592</v>
      </c>
      <c r="L77" s="430">
        <v>1457.460125837036</v>
      </c>
      <c r="M77" s="430">
        <v>3340.4503265726244</v>
      </c>
      <c r="N77" s="430">
        <v>5719.5670015823989</v>
      </c>
      <c r="O77" s="430">
        <v>8401.5681635289438</v>
      </c>
      <c r="P77" s="430">
        <v>11155.458410978881</v>
      </c>
      <c r="Q77" s="430">
        <v>14300.700963952066</v>
      </c>
    </row>
    <row r="78" spans="4:17" x14ac:dyDescent="0.15"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</row>
    <row r="79" spans="4:17" x14ac:dyDescent="0.15">
      <c r="D79" s="428" t="s">
        <v>344</v>
      </c>
      <c r="E79" s="295"/>
      <c r="F79" s="295"/>
      <c r="G79" s="81" t="s">
        <v>337</v>
      </c>
      <c r="H79" s="51">
        <v>17</v>
      </c>
      <c r="I79" s="51">
        <v>0</v>
      </c>
      <c r="J79" s="51">
        <v>0</v>
      </c>
      <c r="K79" s="51">
        <v>0</v>
      </c>
      <c r="L79" s="51">
        <v>0</v>
      </c>
      <c r="M79" s="51">
        <v>0</v>
      </c>
      <c r="N79" s="51">
        <v>0</v>
      </c>
      <c r="O79" s="51">
        <v>0</v>
      </c>
      <c r="P79" s="51">
        <v>0</v>
      </c>
      <c r="Q79" s="51">
        <v>0</v>
      </c>
    </row>
    <row r="80" spans="4:17" x14ac:dyDescent="0.15">
      <c r="D80" s="428"/>
      <c r="E80" s="295"/>
      <c r="F80" s="295"/>
      <c r="G80" s="81" t="s">
        <v>338</v>
      </c>
      <c r="H80" s="51">
        <v>74.671999999999997</v>
      </c>
      <c r="I80" s="51">
        <v>0</v>
      </c>
      <c r="J80" s="51">
        <v>0</v>
      </c>
      <c r="K80" s="51">
        <v>0</v>
      </c>
      <c r="L80" s="51">
        <v>0</v>
      </c>
      <c r="M80" s="51">
        <v>0</v>
      </c>
      <c r="N80" s="51">
        <v>0</v>
      </c>
      <c r="O80" s="51">
        <v>0</v>
      </c>
      <c r="P80" s="51">
        <v>0</v>
      </c>
      <c r="Q80" s="51">
        <v>0</v>
      </c>
    </row>
    <row r="81" spans="4:17" x14ac:dyDescent="0.15">
      <c r="D81" s="295"/>
      <c r="E81" s="81" t="s">
        <v>337</v>
      </c>
      <c r="F81" s="295"/>
      <c r="G81" s="295"/>
      <c r="H81" s="378"/>
      <c r="I81" s="378"/>
      <c r="J81" s="378"/>
      <c r="K81" s="378"/>
      <c r="L81" s="378"/>
      <c r="M81" s="378"/>
      <c r="N81" s="378"/>
      <c r="O81" s="378"/>
      <c r="P81" s="378"/>
      <c r="Q81" s="378"/>
    </row>
    <row r="82" spans="4:17" x14ac:dyDescent="0.15">
      <c r="D82" s="429">
        <v>1</v>
      </c>
      <c r="E82" s="378">
        <v>1</v>
      </c>
      <c r="F82" s="378"/>
      <c r="G82" s="295"/>
      <c r="H82" s="378">
        <v>166.34399999999999</v>
      </c>
      <c r="I82" s="378">
        <v>0</v>
      </c>
      <c r="J82" s="378">
        <v>0</v>
      </c>
      <c r="K82" s="378">
        <v>0</v>
      </c>
      <c r="L82" s="378">
        <v>0</v>
      </c>
      <c r="M82" s="378">
        <v>0</v>
      </c>
      <c r="N82" s="378">
        <v>0</v>
      </c>
      <c r="O82" s="378">
        <v>0</v>
      </c>
      <c r="P82" s="378">
        <v>0</v>
      </c>
      <c r="Q82" s="378">
        <v>0</v>
      </c>
    </row>
    <row r="83" spans="4:17" x14ac:dyDescent="0.15">
      <c r="D83" s="429">
        <v>2</v>
      </c>
      <c r="E83" s="378">
        <v>0</v>
      </c>
      <c r="F83" s="378"/>
      <c r="G83" s="295"/>
      <c r="H83" s="295"/>
      <c r="I83" s="378">
        <v>149.34399999999999</v>
      </c>
      <c r="J83" s="378">
        <v>0</v>
      </c>
      <c r="K83" s="378">
        <v>0</v>
      </c>
      <c r="L83" s="378">
        <v>0</v>
      </c>
      <c r="M83" s="378">
        <v>0</v>
      </c>
      <c r="N83" s="378">
        <v>0</v>
      </c>
      <c r="O83" s="378">
        <v>0</v>
      </c>
      <c r="P83" s="378">
        <v>0</v>
      </c>
      <c r="Q83" s="378">
        <v>0</v>
      </c>
    </row>
    <row r="84" spans="4:17" x14ac:dyDescent="0.15">
      <c r="D84" s="429">
        <v>3</v>
      </c>
      <c r="E84" s="378">
        <v>2</v>
      </c>
      <c r="F84" s="378"/>
      <c r="G84" s="295"/>
      <c r="H84" s="295"/>
      <c r="I84" s="295"/>
      <c r="J84" s="378">
        <v>482.03199999999998</v>
      </c>
      <c r="K84" s="378">
        <v>0</v>
      </c>
      <c r="L84" s="378">
        <v>0</v>
      </c>
      <c r="M84" s="378">
        <v>0</v>
      </c>
      <c r="N84" s="378">
        <v>0</v>
      </c>
      <c r="O84" s="378">
        <v>0</v>
      </c>
      <c r="P84" s="378">
        <v>0</v>
      </c>
      <c r="Q84" s="378">
        <v>0</v>
      </c>
    </row>
    <row r="85" spans="4:17" x14ac:dyDescent="0.15">
      <c r="D85" s="429">
        <v>4</v>
      </c>
      <c r="E85" s="378">
        <v>4</v>
      </c>
      <c r="F85" s="378"/>
      <c r="G85" s="295"/>
      <c r="H85" s="295"/>
      <c r="I85" s="295"/>
      <c r="J85" s="295"/>
      <c r="K85" s="378">
        <v>964.06399999999996</v>
      </c>
      <c r="L85" s="378">
        <v>0</v>
      </c>
      <c r="M85" s="378">
        <v>0</v>
      </c>
      <c r="N85" s="378">
        <v>0</v>
      </c>
      <c r="O85" s="378">
        <v>0</v>
      </c>
      <c r="P85" s="378">
        <v>0</v>
      </c>
      <c r="Q85" s="378">
        <v>0</v>
      </c>
    </row>
    <row r="86" spans="4:17" x14ac:dyDescent="0.15">
      <c r="D86" s="429">
        <v>5</v>
      </c>
      <c r="E86" s="378">
        <v>5</v>
      </c>
      <c r="F86" s="378"/>
      <c r="G86" s="295"/>
      <c r="H86" s="295"/>
      <c r="I86" s="295"/>
      <c r="J86" s="295"/>
      <c r="K86" s="295"/>
      <c r="L86" s="378">
        <v>1429.096</v>
      </c>
      <c r="M86" s="378">
        <v>0</v>
      </c>
      <c r="N86" s="378">
        <v>0</v>
      </c>
      <c r="O86" s="378">
        <v>0</v>
      </c>
      <c r="P86" s="378">
        <v>0</v>
      </c>
      <c r="Q86" s="378">
        <v>0</v>
      </c>
    </row>
    <row r="87" spans="4:17" x14ac:dyDescent="0.15">
      <c r="D87" s="429">
        <v>6</v>
      </c>
      <c r="E87" s="378">
        <v>0</v>
      </c>
      <c r="F87" s="378"/>
      <c r="G87" s="295"/>
      <c r="H87" s="295"/>
      <c r="I87" s="295"/>
      <c r="J87" s="295"/>
      <c r="K87" s="295"/>
      <c r="L87" s="295"/>
      <c r="M87" s="378">
        <v>1792.1279999999999</v>
      </c>
      <c r="N87" s="378">
        <v>0</v>
      </c>
      <c r="O87" s="378">
        <v>0</v>
      </c>
      <c r="P87" s="378">
        <v>0</v>
      </c>
      <c r="Q87" s="378">
        <v>0</v>
      </c>
    </row>
    <row r="88" spans="4:17" x14ac:dyDescent="0.15">
      <c r="D88" s="429">
        <v>7</v>
      </c>
      <c r="E88" s="378">
        <v>0</v>
      </c>
      <c r="F88" s="378"/>
      <c r="G88" s="295"/>
      <c r="H88" s="295"/>
      <c r="I88" s="295"/>
      <c r="J88" s="295"/>
      <c r="K88" s="295"/>
      <c r="L88" s="295"/>
      <c r="M88" s="295"/>
      <c r="N88" s="378">
        <v>896.06399999999996</v>
      </c>
      <c r="O88" s="378">
        <v>0</v>
      </c>
      <c r="P88" s="378">
        <v>0</v>
      </c>
      <c r="Q88" s="378">
        <v>0</v>
      </c>
    </row>
    <row r="89" spans="4:17" hidden="1" outlineLevel="1" x14ac:dyDescent="0.15">
      <c r="D89" s="429">
        <v>8</v>
      </c>
      <c r="E89" s="378">
        <v>0</v>
      </c>
      <c r="F89" s="378"/>
      <c r="G89" s="295"/>
      <c r="H89" s="295"/>
      <c r="I89" s="295"/>
      <c r="J89" s="295"/>
      <c r="K89" s="295"/>
      <c r="L89" s="295"/>
      <c r="M89" s="295"/>
      <c r="N89" s="295"/>
      <c r="O89" s="378">
        <v>0</v>
      </c>
      <c r="P89" s="378">
        <v>0</v>
      </c>
      <c r="Q89" s="378">
        <v>0</v>
      </c>
    </row>
    <row r="90" spans="4:17" hidden="1" outlineLevel="1" x14ac:dyDescent="0.15">
      <c r="D90" s="429">
        <v>9</v>
      </c>
      <c r="E90" s="378">
        <v>0</v>
      </c>
      <c r="F90" s="378"/>
      <c r="G90" s="295"/>
      <c r="H90" s="295"/>
      <c r="I90" s="295"/>
      <c r="J90" s="295"/>
      <c r="K90" s="295"/>
      <c r="L90" s="295"/>
      <c r="M90" s="295"/>
      <c r="N90" s="295"/>
      <c r="O90" s="295"/>
      <c r="P90" s="378">
        <v>0</v>
      </c>
      <c r="Q90" s="378">
        <v>0</v>
      </c>
    </row>
    <row r="91" spans="4:17" hidden="1" outlineLevel="1" x14ac:dyDescent="0.15">
      <c r="D91" s="429">
        <v>10</v>
      </c>
      <c r="E91" s="378">
        <v>0</v>
      </c>
      <c r="F91" s="378"/>
      <c r="G91" s="295"/>
      <c r="H91" s="252"/>
      <c r="I91" s="252"/>
      <c r="J91" s="252"/>
      <c r="K91" s="252"/>
      <c r="L91" s="252"/>
      <c r="M91" s="252"/>
      <c r="N91" s="295"/>
      <c r="O91" s="295"/>
      <c r="P91" s="295"/>
      <c r="Q91" s="378">
        <v>0</v>
      </c>
    </row>
    <row r="92" spans="4:17" collapsed="1" x14ac:dyDescent="0.15">
      <c r="D92" s="429" t="s">
        <v>340</v>
      </c>
      <c r="E92" s="430"/>
      <c r="F92" s="295"/>
      <c r="G92" s="295"/>
      <c r="H92" s="430">
        <v>166.34399999999999</v>
      </c>
      <c r="I92" s="430">
        <v>149.34399999999999</v>
      </c>
      <c r="J92" s="430">
        <v>482.03199999999998</v>
      </c>
      <c r="K92" s="430">
        <v>964.06399999999996</v>
      </c>
      <c r="L92" s="430">
        <v>1429.096</v>
      </c>
      <c r="M92" s="430">
        <v>1792.1279999999999</v>
      </c>
      <c r="N92" s="430">
        <v>896.06399999999996</v>
      </c>
      <c r="O92" s="430">
        <v>0</v>
      </c>
      <c r="P92" s="430">
        <v>0</v>
      </c>
      <c r="Q92" s="430">
        <v>0</v>
      </c>
    </row>
    <row r="93" spans="4:17" x14ac:dyDescent="0.15">
      <c r="D93" s="295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</row>
    <row r="94" spans="4:17" x14ac:dyDescent="0.15">
      <c r="D94" s="429"/>
      <c r="E94" s="378"/>
      <c r="F94" s="295"/>
      <c r="G94" s="295"/>
      <c r="H94" s="378"/>
      <c r="I94" s="378"/>
      <c r="J94" s="378"/>
      <c r="K94" s="378"/>
      <c r="L94" s="378"/>
      <c r="M94" s="378"/>
      <c r="N94" s="378"/>
      <c r="O94" s="378"/>
      <c r="P94" s="378"/>
      <c r="Q94" s="378"/>
    </row>
    <row r="95" spans="4:17" x14ac:dyDescent="0.15">
      <c r="D95" s="428" t="s">
        <v>23</v>
      </c>
      <c r="E95" s="295"/>
      <c r="F95" s="295"/>
      <c r="G95" s="81" t="s">
        <v>337</v>
      </c>
      <c r="H95" s="51">
        <v>3.4</v>
      </c>
      <c r="I95" s="51">
        <v>9.6533211839924835</v>
      </c>
      <c r="J95" s="51">
        <v>47.063932710858793</v>
      </c>
      <c r="K95" s="51">
        <v>132.6926657612417</v>
      </c>
      <c r="L95" s="51">
        <v>242.93965956360972</v>
      </c>
      <c r="M95" s="51">
        <v>401.91582462662433</v>
      </c>
      <c r="N95" s="51">
        <v>607.76724750250492</v>
      </c>
      <c r="O95" s="51">
        <v>840.99690962087766</v>
      </c>
      <c r="P95" s="51">
        <v>1105.2461168009941</v>
      </c>
      <c r="Q95" s="51">
        <v>1404.640468536066</v>
      </c>
    </row>
    <row r="96" spans="4:17" x14ac:dyDescent="0.15">
      <c r="D96" s="428"/>
      <c r="E96" s="295"/>
      <c r="F96" s="295"/>
      <c r="G96" s="81" t="s">
        <v>338</v>
      </c>
      <c r="H96" s="51">
        <v>10.667428571428571</v>
      </c>
      <c r="I96" s="51">
        <v>13.524571428571429</v>
      </c>
      <c r="J96" s="51">
        <v>14.953142857142856</v>
      </c>
      <c r="K96" s="51">
        <v>16.381714285714285</v>
      </c>
      <c r="L96" s="51">
        <v>17.810285714285715</v>
      </c>
      <c r="M96" s="51">
        <v>32.095999999999997</v>
      </c>
      <c r="N96" s="51">
        <v>33.524571428571427</v>
      </c>
      <c r="O96" s="51">
        <v>34.953142857142858</v>
      </c>
      <c r="P96" s="51">
        <v>36.381714285714288</v>
      </c>
      <c r="Q96" s="51">
        <v>37.810285714285719</v>
      </c>
    </row>
    <row r="97" spans="4:17" x14ac:dyDescent="0.15">
      <c r="D97" s="295"/>
      <c r="E97" s="81" t="s">
        <v>337</v>
      </c>
      <c r="F97" s="295"/>
      <c r="G97" s="295"/>
      <c r="H97" s="378"/>
      <c r="I97" s="378"/>
      <c r="J97" s="378"/>
      <c r="K97" s="378"/>
      <c r="L97" s="378"/>
      <c r="M97" s="378"/>
      <c r="N97" s="378"/>
      <c r="O97" s="378"/>
      <c r="P97" s="378"/>
      <c r="Q97" s="378"/>
    </row>
    <row r="98" spans="4:17" x14ac:dyDescent="0.15">
      <c r="D98" s="429">
        <v>1</v>
      </c>
      <c r="E98" s="378">
        <v>1</v>
      </c>
      <c r="F98" s="378"/>
      <c r="G98" s="295"/>
      <c r="H98" s="378">
        <v>24.734857142857141</v>
      </c>
      <c r="I98" s="378">
        <v>36.702464041135343</v>
      </c>
      <c r="J98" s="378">
        <v>76.970218425144509</v>
      </c>
      <c r="K98" s="378">
        <v>165.45609433267026</v>
      </c>
      <c r="L98" s="378">
        <v>278.56023099218118</v>
      </c>
      <c r="M98" s="378">
        <v>466.10782462662434</v>
      </c>
      <c r="N98" s="378">
        <v>674.81639035964781</v>
      </c>
      <c r="O98" s="378">
        <v>910.90319533516333</v>
      </c>
      <c r="P98" s="378">
        <v>1178.0095453724227</v>
      </c>
      <c r="Q98" s="378">
        <v>1480.2610399646373</v>
      </c>
    </row>
    <row r="99" spans="4:17" x14ac:dyDescent="0.15">
      <c r="D99" s="429">
        <v>2</v>
      </c>
      <c r="E99" s="378">
        <v>0</v>
      </c>
      <c r="F99" s="378"/>
      <c r="G99" s="295"/>
      <c r="H99" s="295"/>
      <c r="I99" s="378">
        <v>21.334857142857143</v>
      </c>
      <c r="J99" s="378">
        <v>27.049142857142858</v>
      </c>
      <c r="K99" s="378">
        <v>29.906285714285712</v>
      </c>
      <c r="L99" s="378">
        <v>32.76342857142857</v>
      </c>
      <c r="M99" s="378">
        <v>35.620571428571431</v>
      </c>
      <c r="N99" s="378">
        <v>64.191999999999993</v>
      </c>
      <c r="O99" s="378">
        <v>67.049142857142854</v>
      </c>
      <c r="P99" s="378">
        <v>69.906285714285715</v>
      </c>
      <c r="Q99" s="378">
        <v>72.763428571428577</v>
      </c>
    </row>
    <row r="100" spans="4:17" x14ac:dyDescent="0.15">
      <c r="D100" s="429">
        <v>3</v>
      </c>
      <c r="E100" s="378">
        <v>2</v>
      </c>
      <c r="F100" s="378"/>
      <c r="G100" s="295"/>
      <c r="H100" s="295"/>
      <c r="I100" s="295"/>
      <c r="J100" s="378">
        <v>70.804571428571421</v>
      </c>
      <c r="K100" s="378">
        <v>100.45407093941354</v>
      </c>
      <c r="L100" s="378">
        <v>183.84672256457472</v>
      </c>
      <c r="M100" s="378">
        <v>363.67561723676909</v>
      </c>
      <c r="N100" s="378">
        <v>592.7410334129338</v>
      </c>
      <c r="O100" s="378">
        <v>996.40764925324856</v>
      </c>
      <c r="P100" s="378">
        <v>1416.6819235764383</v>
      </c>
      <c r="Q100" s="378">
        <v>1891.7126763846125</v>
      </c>
    </row>
    <row r="101" spans="4:17" x14ac:dyDescent="0.15">
      <c r="D101" s="429">
        <v>4</v>
      </c>
      <c r="E101" s="378">
        <v>4</v>
      </c>
      <c r="F101" s="378"/>
      <c r="G101" s="295"/>
      <c r="H101" s="295"/>
      <c r="I101" s="295"/>
      <c r="J101" s="295"/>
      <c r="K101" s="378">
        <v>141.60914285714284</v>
      </c>
      <c r="L101" s="378">
        <v>200.90814187882708</v>
      </c>
      <c r="M101" s="378">
        <v>367.69344512914944</v>
      </c>
      <c r="N101" s="378">
        <v>727.35123447353817</v>
      </c>
      <c r="O101" s="378">
        <v>1185.4820668258676</v>
      </c>
      <c r="P101" s="378">
        <v>1992.8152985064971</v>
      </c>
      <c r="Q101" s="378">
        <v>2833.3638471528766</v>
      </c>
    </row>
    <row r="102" spans="4:17" x14ac:dyDescent="0.15">
      <c r="D102" s="429">
        <v>5</v>
      </c>
      <c r="E102" s="378">
        <v>5</v>
      </c>
      <c r="F102" s="378"/>
      <c r="G102" s="295"/>
      <c r="H102" s="295"/>
      <c r="I102" s="295"/>
      <c r="J102" s="295"/>
      <c r="K102" s="295"/>
      <c r="L102" s="378">
        <v>209.01371428571429</v>
      </c>
      <c r="M102" s="378">
        <v>291.70889163424818</v>
      </c>
      <c r="N102" s="378">
        <v>504.47623498286538</v>
      </c>
      <c r="O102" s="378">
        <v>958.33418594906561</v>
      </c>
      <c r="P102" s="378">
        <v>1535.2834406751915</v>
      </c>
      <c r="Q102" s="378">
        <v>2587.3071231331214</v>
      </c>
    </row>
    <row r="103" spans="4:17" x14ac:dyDescent="0.15">
      <c r="D103" s="429">
        <v>6</v>
      </c>
      <c r="E103" s="378">
        <v>0</v>
      </c>
      <c r="F103" s="378"/>
      <c r="G103" s="295"/>
      <c r="H103" s="295"/>
      <c r="I103" s="295"/>
      <c r="J103" s="295"/>
      <c r="K103" s="295"/>
      <c r="L103" s="295"/>
      <c r="M103" s="378">
        <v>256.0182857142857</v>
      </c>
      <c r="N103" s="378">
        <v>324.58971428571431</v>
      </c>
      <c r="O103" s="378">
        <v>358.87542857142853</v>
      </c>
      <c r="P103" s="378">
        <v>393.16114285714286</v>
      </c>
      <c r="Q103" s="378">
        <v>427.4468571428572</v>
      </c>
    </row>
    <row r="104" spans="4:17" x14ac:dyDescent="0.15">
      <c r="D104" s="429">
        <v>7</v>
      </c>
      <c r="E104" s="378">
        <v>0</v>
      </c>
      <c r="F104" s="378"/>
      <c r="G104" s="295"/>
      <c r="H104" s="295"/>
      <c r="I104" s="295"/>
      <c r="J104" s="295"/>
      <c r="K104" s="295"/>
      <c r="L104" s="295"/>
      <c r="M104" s="295"/>
      <c r="N104" s="378">
        <v>128.00914285714285</v>
      </c>
      <c r="O104" s="378">
        <v>162.29485714285715</v>
      </c>
      <c r="P104" s="378">
        <v>179.43771428571426</v>
      </c>
      <c r="Q104" s="378">
        <v>196.58057142857143</v>
      </c>
    </row>
    <row r="105" spans="4:17" hidden="1" outlineLevel="1" x14ac:dyDescent="0.15">
      <c r="D105" s="429">
        <v>8</v>
      </c>
      <c r="E105" s="378">
        <v>0</v>
      </c>
      <c r="F105" s="378"/>
      <c r="G105" s="295"/>
      <c r="H105" s="295"/>
      <c r="I105" s="295"/>
      <c r="J105" s="295"/>
      <c r="K105" s="295"/>
      <c r="L105" s="295"/>
      <c r="M105" s="295"/>
      <c r="N105" s="295"/>
      <c r="O105" s="378">
        <v>0</v>
      </c>
      <c r="P105" s="378">
        <v>0</v>
      </c>
      <c r="Q105" s="378">
        <v>0</v>
      </c>
    </row>
    <row r="106" spans="4:17" hidden="1" outlineLevel="1" x14ac:dyDescent="0.15">
      <c r="D106" s="429">
        <v>9</v>
      </c>
      <c r="E106" s="378">
        <v>0</v>
      </c>
      <c r="F106" s="378"/>
      <c r="G106" s="295"/>
      <c r="H106" s="295"/>
      <c r="I106" s="295"/>
      <c r="J106" s="295"/>
      <c r="K106" s="295"/>
      <c r="L106" s="295"/>
      <c r="M106" s="295"/>
      <c r="N106" s="295"/>
      <c r="O106" s="295"/>
      <c r="P106" s="378">
        <v>0</v>
      </c>
      <c r="Q106" s="378">
        <v>0</v>
      </c>
    </row>
    <row r="107" spans="4:17" hidden="1" outlineLevel="1" x14ac:dyDescent="0.15">
      <c r="D107" s="429">
        <v>10</v>
      </c>
      <c r="E107" s="378">
        <v>0</v>
      </c>
      <c r="F107" s="378"/>
      <c r="G107" s="295"/>
      <c r="H107" s="252"/>
      <c r="I107" s="252"/>
      <c r="J107" s="252"/>
      <c r="K107" s="252"/>
      <c r="L107" s="252"/>
      <c r="M107" s="252"/>
      <c r="N107" s="295"/>
      <c r="O107" s="295"/>
      <c r="P107" s="295"/>
      <c r="Q107" s="378">
        <v>0</v>
      </c>
    </row>
    <row r="108" spans="4:17" collapsed="1" x14ac:dyDescent="0.15">
      <c r="D108" s="429" t="s">
        <v>340</v>
      </c>
      <c r="E108" s="430"/>
      <c r="F108" s="295"/>
      <c r="G108" s="295"/>
      <c r="H108" s="430">
        <v>24.734857142857141</v>
      </c>
      <c r="I108" s="430">
        <v>58.037321183992489</v>
      </c>
      <c r="J108" s="430">
        <v>174.8239327108588</v>
      </c>
      <c r="K108" s="430">
        <v>437.42559384351233</v>
      </c>
      <c r="L108" s="430">
        <v>905.09223829272582</v>
      </c>
      <c r="M108" s="430">
        <v>1780.8246357696482</v>
      </c>
      <c r="N108" s="430">
        <v>3016.1757503718418</v>
      </c>
      <c r="O108" s="430">
        <v>4639.3465259347731</v>
      </c>
      <c r="P108" s="430">
        <v>6765.2953509876934</v>
      </c>
      <c r="Q108" s="430">
        <v>9489.4355437781032</v>
      </c>
    </row>
    <row r="109" spans="4:17" x14ac:dyDescent="0.15">
      <c r="D109" s="295"/>
      <c r="E109" s="295"/>
      <c r="F109" s="295"/>
      <c r="G109" s="295"/>
      <c r="H109" s="295"/>
      <c r="I109" s="295"/>
      <c r="J109" s="295"/>
      <c r="K109" s="295"/>
      <c r="L109" s="295"/>
      <c r="M109" s="295"/>
      <c r="N109" s="295"/>
      <c r="O109" s="295"/>
      <c r="P109" s="295"/>
      <c r="Q109" s="295"/>
    </row>
    <row r="110" spans="4:17" x14ac:dyDescent="0.15">
      <c r="D110" s="428" t="s">
        <v>208</v>
      </c>
      <c r="E110" s="295"/>
      <c r="F110" s="295"/>
      <c r="G110" s="295"/>
      <c r="H110" s="295"/>
      <c r="I110" s="295"/>
      <c r="J110" s="295"/>
      <c r="K110" s="295"/>
      <c r="L110" s="295"/>
      <c r="M110" s="295"/>
      <c r="N110" s="295"/>
      <c r="O110" s="295"/>
      <c r="P110" s="295"/>
      <c r="Q110" s="295"/>
    </row>
    <row r="111" spans="4:17" x14ac:dyDescent="0.15">
      <c r="D111" s="295" t="s">
        <v>209</v>
      </c>
      <c r="E111" s="295"/>
      <c r="F111" s="295"/>
      <c r="G111" s="295"/>
      <c r="H111" s="51">
        <v>0</v>
      </c>
      <c r="I111" s="51">
        <v>168.6617607338261</v>
      </c>
      <c r="J111" s="51">
        <v>324.18242759311272</v>
      </c>
      <c r="K111" s="51">
        <v>932.54878826995196</v>
      </c>
      <c r="L111" s="51">
        <v>2183.9693072716459</v>
      </c>
      <c r="M111" s="51">
        <v>4165.4331948159561</v>
      </c>
      <c r="N111" s="51">
        <v>7517.1868856189321</v>
      </c>
      <c r="O111" s="51">
        <v>11116.642136829489</v>
      </c>
      <c r="P111" s="51">
        <v>14878.863774423662</v>
      </c>
      <c r="Q111" s="51">
        <v>19269.02683441485</v>
      </c>
    </row>
    <row r="112" spans="4:17" x14ac:dyDescent="0.15">
      <c r="D112" s="295" t="s">
        <v>345</v>
      </c>
      <c r="E112" s="295"/>
      <c r="F112" s="295"/>
      <c r="G112" s="295"/>
      <c r="H112" s="51">
        <v>166.34399999999999</v>
      </c>
      <c r="I112" s="51">
        <v>149.34399999999999</v>
      </c>
      <c r="J112" s="51">
        <v>482.03199999999998</v>
      </c>
      <c r="K112" s="51">
        <v>964.06399999999996</v>
      </c>
      <c r="L112" s="51">
        <v>1429.096</v>
      </c>
      <c r="M112" s="51">
        <v>1792.1279999999999</v>
      </c>
      <c r="N112" s="51">
        <v>896.06399999999996</v>
      </c>
      <c r="O112" s="51">
        <v>0</v>
      </c>
      <c r="P112" s="51">
        <v>0</v>
      </c>
      <c r="Q112" s="51">
        <v>0</v>
      </c>
    </row>
    <row r="113" spans="4:17" x14ac:dyDescent="0.15">
      <c r="D113" s="295" t="s">
        <v>346</v>
      </c>
      <c r="E113" s="295"/>
      <c r="F113" s="295"/>
      <c r="G113" s="295"/>
      <c r="H113" s="51">
        <v>27.052617876683254</v>
      </c>
      <c r="I113" s="51">
        <v>64.213988043279159</v>
      </c>
      <c r="J113" s="51">
        <v>301.15829338769805</v>
      </c>
      <c r="K113" s="51">
        <v>724.78211284520592</v>
      </c>
      <c r="L113" s="51">
        <v>1457.460125837036</v>
      </c>
      <c r="M113" s="51">
        <v>3340.4503265726244</v>
      </c>
      <c r="N113" s="51">
        <v>5719.5670015823989</v>
      </c>
      <c r="O113" s="51">
        <v>8401.5681635289438</v>
      </c>
      <c r="P113" s="51">
        <v>11155.458410978881</v>
      </c>
      <c r="Q113" s="51">
        <v>14300.700963952066</v>
      </c>
    </row>
    <row r="114" spans="4:17" x14ac:dyDescent="0.15">
      <c r="D114" s="295" t="s">
        <v>212</v>
      </c>
      <c r="E114" s="295"/>
      <c r="F114" s="295"/>
      <c r="G114" s="295"/>
      <c r="H114" s="73">
        <v>24.734857142857141</v>
      </c>
      <c r="I114" s="73">
        <v>58.037321183992489</v>
      </c>
      <c r="J114" s="73">
        <v>174.8239327108588</v>
      </c>
      <c r="K114" s="73">
        <v>437.42559384351233</v>
      </c>
      <c r="L114" s="73">
        <v>905.09223829272582</v>
      </c>
      <c r="M114" s="73">
        <v>1780.8246357696482</v>
      </c>
      <c r="N114" s="73">
        <v>3016.1757503718418</v>
      </c>
      <c r="O114" s="73">
        <v>4639.3465259347731</v>
      </c>
      <c r="P114" s="73">
        <v>6765.2953509876934</v>
      </c>
      <c r="Q114" s="73">
        <v>9489.4355437781032</v>
      </c>
    </row>
    <row r="115" spans="4:17" x14ac:dyDescent="0.15">
      <c r="D115" s="295" t="s">
        <v>213</v>
      </c>
      <c r="E115" s="295"/>
      <c r="F115" s="295"/>
      <c r="G115" s="295"/>
      <c r="H115" s="51">
        <v>168.6617607338261</v>
      </c>
      <c r="I115" s="51">
        <v>324.18242759311272</v>
      </c>
      <c r="J115" s="51">
        <v>932.54878826995196</v>
      </c>
      <c r="K115" s="51">
        <v>2183.9693072716459</v>
      </c>
      <c r="L115" s="51">
        <v>4165.4331948159561</v>
      </c>
      <c r="M115" s="51">
        <v>7517.1868856189321</v>
      </c>
      <c r="N115" s="51">
        <v>11116.642136829489</v>
      </c>
      <c r="O115" s="51">
        <v>14878.863774423662</v>
      </c>
      <c r="P115" s="51">
        <v>19269.02683441485</v>
      </c>
      <c r="Q115" s="51">
        <v>24080.292254588814</v>
      </c>
    </row>
    <row r="116" spans="4:17" x14ac:dyDescent="0.15">
      <c r="D116" s="295"/>
      <c r="E116" s="295"/>
      <c r="F116" s="295"/>
      <c r="G116" s="277"/>
      <c r="H116" s="295"/>
      <c r="I116" s="295"/>
      <c r="J116" s="295"/>
      <c r="K116" s="295"/>
      <c r="L116" s="295"/>
      <c r="M116" s="295"/>
      <c r="N116" s="295"/>
      <c r="O116" s="295"/>
      <c r="P116" s="295"/>
      <c r="Q116" s="295"/>
    </row>
    <row r="117" spans="4:17" x14ac:dyDescent="0.15">
      <c r="D117" s="295"/>
      <c r="E117" s="431"/>
      <c r="F117" s="295"/>
      <c r="G117" s="432"/>
      <c r="H117" s="295"/>
      <c r="I117" s="295"/>
      <c r="J117" s="295"/>
      <c r="K117" s="295"/>
      <c r="L117" s="295"/>
      <c r="M117" s="295"/>
      <c r="N117" s="295"/>
      <c r="O117" s="295"/>
      <c r="P117" s="295"/>
      <c r="Q117" s="295"/>
    </row>
    <row r="118" spans="4:17" ht="18" x14ac:dyDescent="0.2">
      <c r="D118" s="273" t="s">
        <v>347</v>
      </c>
      <c r="E118" s="295"/>
      <c r="F118" s="295"/>
      <c r="G118" s="295"/>
      <c r="H118" s="295"/>
      <c r="I118" s="295"/>
      <c r="J118" s="295"/>
      <c r="K118" s="295"/>
      <c r="L118" s="295"/>
      <c r="M118" s="295"/>
      <c r="N118" s="295"/>
      <c r="O118" s="295"/>
      <c r="P118" s="295"/>
      <c r="Q118" s="295"/>
    </row>
    <row r="119" spans="4:17" x14ac:dyDescent="0.15">
      <c r="D119" s="275" t="s">
        <v>1</v>
      </c>
      <c r="E119" s="295"/>
      <c r="F119" s="295"/>
      <c r="G119" s="295"/>
      <c r="H119" s="295"/>
      <c r="I119" s="295"/>
      <c r="J119" s="295"/>
      <c r="K119" s="295"/>
      <c r="L119" s="295"/>
      <c r="M119" s="295"/>
      <c r="N119" s="295"/>
      <c r="O119" s="295"/>
      <c r="P119" s="295"/>
      <c r="Q119" s="295"/>
    </row>
    <row r="120" spans="4:17" x14ac:dyDescent="0.15">
      <c r="D120" s="295"/>
      <c r="E120" s="295"/>
      <c r="F120" s="295"/>
      <c r="G120" s="295"/>
      <c r="H120" s="433" t="s">
        <v>2</v>
      </c>
      <c r="I120" s="433"/>
      <c r="J120" s="433"/>
      <c r="K120" s="433"/>
      <c r="L120" s="433"/>
      <c r="M120" s="433"/>
      <c r="N120" s="433"/>
      <c r="O120" s="433"/>
      <c r="P120" s="433"/>
      <c r="Q120" s="433"/>
    </row>
    <row r="121" spans="4:17" x14ac:dyDescent="0.15">
      <c r="D121" s="434"/>
      <c r="E121" s="295"/>
      <c r="F121" s="295"/>
      <c r="G121" s="435">
        <v>0</v>
      </c>
      <c r="H121" s="103">
        <v>1</v>
      </c>
      <c r="I121" s="103">
        <v>2</v>
      </c>
      <c r="J121" s="103">
        <v>3</v>
      </c>
      <c r="K121" s="103">
        <v>4</v>
      </c>
      <c r="L121" s="103">
        <v>5</v>
      </c>
      <c r="M121" s="103">
        <v>6</v>
      </c>
      <c r="N121" s="103">
        <v>7</v>
      </c>
      <c r="O121" s="103">
        <v>8</v>
      </c>
      <c r="P121" s="103">
        <v>9</v>
      </c>
      <c r="Q121" s="103">
        <v>10</v>
      </c>
    </row>
    <row r="122" spans="4:17" x14ac:dyDescent="0.15">
      <c r="D122" s="295"/>
      <c r="E122" s="295"/>
      <c r="F122" s="295"/>
      <c r="G122" s="295"/>
      <c r="H122" s="436"/>
      <c r="I122" s="436"/>
      <c r="J122" s="436"/>
      <c r="K122" s="436"/>
      <c r="L122" s="436"/>
      <c r="M122" s="436"/>
      <c r="N122" s="436"/>
      <c r="O122" s="436"/>
      <c r="P122" s="436"/>
      <c r="Q122" s="436"/>
    </row>
    <row r="123" spans="4:17" x14ac:dyDescent="0.15">
      <c r="D123" s="428" t="s">
        <v>198</v>
      </c>
      <c r="E123" s="295"/>
      <c r="F123" s="295"/>
      <c r="G123" s="81" t="s">
        <v>337</v>
      </c>
      <c r="H123" s="51">
        <v>7.4828420790369696</v>
      </c>
      <c r="I123" s="51">
        <v>25.691091138026927</v>
      </c>
      <c r="J123" s="51">
        <v>99.231839520629009</v>
      </c>
      <c r="K123" s="51">
        <v>227.13065490277313</v>
      </c>
      <c r="L123" s="51">
        <v>292.43071818732028</v>
      </c>
      <c r="M123" s="51">
        <v>421.68509562611587</v>
      </c>
      <c r="N123" s="51">
        <v>546.0219581078735</v>
      </c>
      <c r="O123" s="51">
        <v>618.64287853622079</v>
      </c>
      <c r="P123" s="51">
        <v>700.92238138153812</v>
      </c>
      <c r="Q123" s="51">
        <v>794.14505810528283</v>
      </c>
    </row>
    <row r="124" spans="4:17" x14ac:dyDescent="0.15">
      <c r="D124" s="428"/>
      <c r="E124" s="295"/>
      <c r="F124" s="295"/>
      <c r="G124" s="81" t="s">
        <v>338</v>
      </c>
      <c r="H124" s="51">
        <v>6.0687701306683826</v>
      </c>
      <c r="I124" s="51">
        <v>9.3762498518826494</v>
      </c>
      <c r="J124" s="51">
        <v>14.083908631682069</v>
      </c>
      <c r="K124" s="51">
        <v>16.993241757598103</v>
      </c>
      <c r="L124" s="51">
        <v>20.064459353300592</v>
      </c>
      <c r="M124" s="51">
        <v>21.779762347214795</v>
      </c>
      <c r="N124" s="51">
        <v>23.641705941262934</v>
      </c>
      <c r="O124" s="51">
        <v>25.6628263845415</v>
      </c>
      <c r="P124" s="51">
        <v>27.856731645311115</v>
      </c>
      <c r="Q124" s="51">
        <v>30.238193031860082</v>
      </c>
    </row>
    <row r="125" spans="4:17" x14ac:dyDescent="0.15">
      <c r="D125" s="295"/>
      <c r="E125" s="81" t="s">
        <v>337</v>
      </c>
      <c r="F125" s="295"/>
      <c r="G125" s="295"/>
      <c r="H125" s="378"/>
      <c r="I125" s="378"/>
      <c r="J125" s="378"/>
      <c r="K125" s="378"/>
      <c r="L125" s="378"/>
      <c r="M125" s="378"/>
      <c r="N125" s="378"/>
      <c r="O125" s="378"/>
      <c r="P125" s="378"/>
      <c r="Q125" s="378"/>
    </row>
    <row r="126" spans="4:17" x14ac:dyDescent="0.15">
      <c r="D126" s="429">
        <v>1</v>
      </c>
      <c r="E126" s="378">
        <v>1</v>
      </c>
      <c r="F126" s="378"/>
      <c r="G126" s="295"/>
      <c r="H126" s="378">
        <v>19.620382340373734</v>
      </c>
      <c r="I126" s="378">
        <v>44.443590841792229</v>
      </c>
      <c r="J126" s="378">
        <v>127.39965678399315</v>
      </c>
      <c r="K126" s="378">
        <v>261.11713841796933</v>
      </c>
      <c r="L126" s="378">
        <v>332.55963689392149</v>
      </c>
      <c r="M126" s="378">
        <v>465.24462032054544</v>
      </c>
      <c r="N126" s="378">
        <v>593.30536999039941</v>
      </c>
      <c r="O126" s="378">
        <v>669.96853130530383</v>
      </c>
      <c r="P126" s="378">
        <v>756.63584467216037</v>
      </c>
      <c r="Q126" s="378">
        <v>854.62144416900298</v>
      </c>
    </row>
    <row r="127" spans="4:17" x14ac:dyDescent="0.15">
      <c r="D127" s="429">
        <v>2</v>
      </c>
      <c r="E127" s="378">
        <v>0</v>
      </c>
      <c r="F127" s="378"/>
      <c r="G127" s="295"/>
      <c r="H127" s="295"/>
      <c r="I127" s="378">
        <v>12.137540261336765</v>
      </c>
      <c r="J127" s="378">
        <v>18.752499703765299</v>
      </c>
      <c r="K127" s="378">
        <v>28.167817263364139</v>
      </c>
      <c r="L127" s="378">
        <v>33.986483515196205</v>
      </c>
      <c r="M127" s="378">
        <v>40.128918706601183</v>
      </c>
      <c r="N127" s="378">
        <v>43.559524694429591</v>
      </c>
      <c r="O127" s="378">
        <v>47.283411882525868</v>
      </c>
      <c r="P127" s="378">
        <v>51.325652769083</v>
      </c>
      <c r="Q127" s="378">
        <v>55.713463290622229</v>
      </c>
    </row>
    <row r="128" spans="4:17" x14ac:dyDescent="0.15">
      <c r="D128" s="429">
        <v>3</v>
      </c>
      <c r="E128" s="378">
        <v>2</v>
      </c>
      <c r="F128" s="378"/>
      <c r="G128" s="295"/>
      <c r="H128" s="295"/>
      <c r="I128" s="295"/>
      <c r="J128" s="378">
        <v>51.378304942084235</v>
      </c>
      <c r="K128" s="378">
        <v>107.63968138734975</v>
      </c>
      <c r="L128" s="378">
        <v>282.96713083135046</v>
      </c>
      <c r="M128" s="378">
        <v>556.22076035113491</v>
      </c>
      <c r="N128" s="378">
        <v>705.24819249444408</v>
      </c>
      <c r="O128" s="378">
        <v>974.04876533552056</v>
      </c>
      <c r="P128" s="378">
        <v>1233.8941518633246</v>
      </c>
      <c r="Q128" s="378">
        <v>1391.2627153796907</v>
      </c>
    </row>
    <row r="129" spans="4:17" x14ac:dyDescent="0.15">
      <c r="D129" s="429">
        <v>4</v>
      </c>
      <c r="E129" s="378">
        <v>4</v>
      </c>
      <c r="F129" s="378"/>
      <c r="G129" s="295"/>
      <c r="H129" s="295"/>
      <c r="I129" s="295"/>
      <c r="J129" s="295"/>
      <c r="K129" s="378">
        <v>102.75660988416847</v>
      </c>
      <c r="L129" s="378">
        <v>215.27936277469951</v>
      </c>
      <c r="M129" s="378">
        <v>565.93426166270092</v>
      </c>
      <c r="N129" s="378">
        <v>1112.4415207022698</v>
      </c>
      <c r="O129" s="378">
        <v>1410.4963849888882</v>
      </c>
      <c r="P129" s="378">
        <v>1948.0975306710411</v>
      </c>
      <c r="Q129" s="378">
        <v>2467.7883037266492</v>
      </c>
    </row>
    <row r="130" spans="4:17" x14ac:dyDescent="0.15">
      <c r="D130" s="429">
        <v>5</v>
      </c>
      <c r="E130" s="378">
        <v>5</v>
      </c>
      <c r="F130" s="378"/>
      <c r="G130" s="295"/>
      <c r="H130" s="295"/>
      <c r="I130" s="295"/>
      <c r="J130" s="295"/>
      <c r="K130" s="295"/>
      <c r="L130" s="378">
        <v>146.65207274721573</v>
      </c>
      <c r="M130" s="378">
        <v>297.22795302402233</v>
      </c>
      <c r="N130" s="378">
        <v>749.66955297342224</v>
      </c>
      <c r="O130" s="378">
        <v>1441.5316261506314</v>
      </c>
      <c r="P130" s="378">
        <v>1823.3138592960122</v>
      </c>
      <c r="Q130" s="378">
        <v>2500.4612003804459</v>
      </c>
    </row>
    <row r="131" spans="4:17" x14ac:dyDescent="0.15">
      <c r="D131" s="429">
        <v>6</v>
      </c>
      <c r="E131" s="378">
        <v>0</v>
      </c>
      <c r="F131" s="378"/>
      <c r="G131" s="295"/>
      <c r="H131" s="295"/>
      <c r="I131" s="295"/>
      <c r="J131" s="295"/>
      <c r="K131" s="295"/>
      <c r="L131" s="295"/>
      <c r="M131" s="378">
        <v>145.65048313604117</v>
      </c>
      <c r="N131" s="378">
        <v>225.0299964451836</v>
      </c>
      <c r="O131" s="378">
        <v>338.01380716036965</v>
      </c>
      <c r="P131" s="378">
        <v>407.83780218235449</v>
      </c>
      <c r="Q131" s="378">
        <v>481.5470244792142</v>
      </c>
    </row>
    <row r="132" spans="4:17" x14ac:dyDescent="0.15">
      <c r="D132" s="429">
        <v>7</v>
      </c>
      <c r="E132" s="378">
        <v>0</v>
      </c>
      <c r="F132" s="378"/>
      <c r="G132" s="295"/>
      <c r="H132" s="295"/>
      <c r="I132" s="295"/>
      <c r="J132" s="295"/>
      <c r="K132" s="295"/>
      <c r="L132" s="295"/>
      <c r="M132" s="295"/>
      <c r="N132" s="378">
        <v>72.825241568020587</v>
      </c>
      <c r="O132" s="378">
        <v>112.5149982225918</v>
      </c>
      <c r="P132" s="378">
        <v>169.00690358018483</v>
      </c>
      <c r="Q132" s="378">
        <v>203.91890109117725</v>
      </c>
    </row>
    <row r="133" spans="4:17" hidden="1" outlineLevel="1" x14ac:dyDescent="0.15">
      <c r="D133" s="429">
        <v>8</v>
      </c>
      <c r="E133" s="378">
        <v>0</v>
      </c>
      <c r="F133" s="378"/>
      <c r="G133" s="295"/>
      <c r="H133" s="295"/>
      <c r="I133" s="295"/>
      <c r="J133" s="295"/>
      <c r="K133" s="295"/>
      <c r="L133" s="295"/>
      <c r="M133" s="295"/>
      <c r="N133" s="295"/>
      <c r="O133" s="378">
        <v>0</v>
      </c>
      <c r="P133" s="378">
        <v>0</v>
      </c>
      <c r="Q133" s="378">
        <v>0</v>
      </c>
    </row>
    <row r="134" spans="4:17" hidden="1" outlineLevel="1" x14ac:dyDescent="0.15">
      <c r="D134" s="429">
        <v>9</v>
      </c>
      <c r="E134" s="378">
        <v>0</v>
      </c>
      <c r="F134" s="378"/>
      <c r="G134" s="295"/>
      <c r="H134" s="295"/>
      <c r="I134" s="295"/>
      <c r="J134" s="295"/>
      <c r="K134" s="295"/>
      <c r="L134" s="295"/>
      <c r="M134" s="295"/>
      <c r="N134" s="295"/>
      <c r="O134" s="295"/>
      <c r="P134" s="378">
        <v>0</v>
      </c>
      <c r="Q134" s="378">
        <v>0</v>
      </c>
    </row>
    <row r="135" spans="4:17" hidden="1" outlineLevel="1" x14ac:dyDescent="0.15">
      <c r="D135" s="429">
        <v>10</v>
      </c>
      <c r="E135" s="378">
        <v>0</v>
      </c>
      <c r="F135" s="378"/>
      <c r="G135" s="295"/>
      <c r="H135" s="252"/>
      <c r="I135" s="252"/>
      <c r="J135" s="252"/>
      <c r="K135" s="252"/>
      <c r="L135" s="252"/>
      <c r="M135" s="252"/>
      <c r="N135" s="295"/>
      <c r="O135" s="295"/>
      <c r="P135" s="295"/>
      <c r="Q135" s="378">
        <v>0</v>
      </c>
    </row>
    <row r="136" spans="4:17" collapsed="1" x14ac:dyDescent="0.15">
      <c r="D136" s="429" t="s">
        <v>340</v>
      </c>
      <c r="E136" s="430"/>
      <c r="F136" s="295"/>
      <c r="G136" s="295"/>
      <c r="H136" s="430">
        <v>19.620382340373734</v>
      </c>
      <c r="I136" s="430">
        <v>56.581131103128996</v>
      </c>
      <c r="J136" s="430">
        <v>197.53046142984269</v>
      </c>
      <c r="K136" s="430">
        <v>499.68124695285172</v>
      </c>
      <c r="L136" s="430">
        <v>1011.4446867623834</v>
      </c>
      <c r="M136" s="430">
        <v>2070.4069972010457</v>
      </c>
      <c r="N136" s="430">
        <v>3502.0793988681689</v>
      </c>
      <c r="O136" s="430">
        <v>4993.8575250458316</v>
      </c>
      <c r="P136" s="430">
        <v>6390.1117450341608</v>
      </c>
      <c r="Q136" s="430">
        <v>7955.3130525168017</v>
      </c>
    </row>
    <row r="137" spans="4:17" x14ac:dyDescent="0.15">
      <c r="D137" s="295"/>
      <c r="E137" s="295"/>
      <c r="F137" s="295"/>
      <c r="G137" s="295"/>
      <c r="H137" s="295"/>
      <c r="I137" s="295"/>
      <c r="J137" s="295"/>
      <c r="K137" s="295"/>
      <c r="L137" s="295"/>
      <c r="M137" s="295"/>
      <c r="N137" s="295"/>
      <c r="O137" s="295"/>
      <c r="P137" s="295"/>
      <c r="Q137" s="295"/>
    </row>
    <row r="138" spans="4:17" x14ac:dyDescent="0.15">
      <c r="D138" s="428" t="s">
        <v>202</v>
      </c>
      <c r="E138" s="295"/>
      <c r="F138" s="295"/>
      <c r="G138" s="81" t="s">
        <v>337</v>
      </c>
      <c r="H138" s="51">
        <v>50.420633276980681</v>
      </c>
      <c r="I138" s="51">
        <v>176.61942253524273</v>
      </c>
      <c r="J138" s="51">
        <v>652.76160148390511</v>
      </c>
      <c r="K138" s="51">
        <v>1430.2751473533169</v>
      </c>
      <c r="L138" s="51">
        <v>1724.7493345088851</v>
      </c>
      <c r="M138" s="51">
        <v>2474.6303697722933</v>
      </c>
      <c r="N138" s="51">
        <v>3188.6311100611874</v>
      </c>
      <c r="O138" s="51">
        <v>3595.4911775126784</v>
      </c>
      <c r="P138" s="51">
        <v>4054.7408469165512</v>
      </c>
      <c r="Q138" s="51">
        <v>4573.1756566306094</v>
      </c>
    </row>
    <row r="139" spans="4:17" x14ac:dyDescent="0.15">
      <c r="D139" s="428"/>
      <c r="E139" s="295"/>
      <c r="F139" s="295"/>
      <c r="G139" s="81" t="s">
        <v>338</v>
      </c>
      <c r="H139" s="51">
        <v>48.028201437405613</v>
      </c>
      <c r="I139" s="51">
        <v>73.947520784122077</v>
      </c>
      <c r="J139" s="51">
        <v>107.40231830364813</v>
      </c>
      <c r="K139" s="51">
        <v>128.51720783302108</v>
      </c>
      <c r="L139" s="51">
        <v>149.81128512331392</v>
      </c>
      <c r="M139" s="51">
        <v>162.15907664152141</v>
      </c>
      <c r="N139" s="51">
        <v>175.53772034000403</v>
      </c>
      <c r="O139" s="51">
        <v>190.03400969886459</v>
      </c>
      <c r="P139" s="51">
        <v>205.74208628986392</v>
      </c>
      <c r="Q139" s="51">
        <v>222.76406409117973</v>
      </c>
    </row>
    <row r="140" spans="4:17" x14ac:dyDescent="0.15">
      <c r="D140" s="295"/>
      <c r="E140" s="81" t="s">
        <v>337</v>
      </c>
      <c r="F140" s="295"/>
      <c r="G140" s="295"/>
      <c r="H140" s="378"/>
      <c r="I140" s="378"/>
      <c r="J140" s="378"/>
      <c r="K140" s="378"/>
      <c r="L140" s="378"/>
      <c r="M140" s="378"/>
      <c r="N140" s="378"/>
      <c r="O140" s="378"/>
      <c r="P140" s="378"/>
      <c r="Q140" s="378"/>
    </row>
    <row r="141" spans="4:17" x14ac:dyDescent="0.15">
      <c r="D141" s="429">
        <v>1</v>
      </c>
      <c r="E141" s="378">
        <v>1</v>
      </c>
      <c r="F141" s="378"/>
      <c r="G141" s="295"/>
      <c r="H141" s="378">
        <v>146.47703615179191</v>
      </c>
      <c r="I141" s="378">
        <v>324.51446410348689</v>
      </c>
      <c r="J141" s="378">
        <v>867.5662380912014</v>
      </c>
      <c r="K141" s="378">
        <v>1687.3095630193591</v>
      </c>
      <c r="L141" s="378">
        <v>2024.371904755513</v>
      </c>
      <c r="M141" s="378">
        <v>2798.948523055336</v>
      </c>
      <c r="N141" s="378">
        <v>3539.7065507411953</v>
      </c>
      <c r="O141" s="378">
        <v>3975.5591969104075</v>
      </c>
      <c r="P141" s="378">
        <v>4466.2250194962789</v>
      </c>
      <c r="Q141" s="378">
        <v>5018.7037848129685</v>
      </c>
    </row>
    <row r="142" spans="4:17" x14ac:dyDescent="0.15">
      <c r="D142" s="429">
        <v>2</v>
      </c>
      <c r="E142" s="378">
        <v>0</v>
      </c>
      <c r="F142" s="378"/>
      <c r="G142" s="295"/>
      <c r="H142" s="295"/>
      <c r="I142" s="378">
        <v>96.056402874811226</v>
      </c>
      <c r="J142" s="378">
        <v>147.89504156824415</v>
      </c>
      <c r="K142" s="378">
        <v>214.80463660729626</v>
      </c>
      <c r="L142" s="378">
        <v>257.03441566604215</v>
      </c>
      <c r="M142" s="378">
        <v>299.62257024662784</v>
      </c>
      <c r="N142" s="378">
        <v>324.31815328304282</v>
      </c>
      <c r="O142" s="378">
        <v>351.07544068000806</v>
      </c>
      <c r="P142" s="378">
        <v>380.06801939772919</v>
      </c>
      <c r="Q142" s="378">
        <v>411.48417257972784</v>
      </c>
    </row>
    <row r="143" spans="4:17" x14ac:dyDescent="0.15">
      <c r="D143" s="429">
        <v>3</v>
      </c>
      <c r="E143" s="378">
        <v>0</v>
      </c>
      <c r="F143" s="378"/>
      <c r="G143" s="295"/>
      <c r="H143" s="295"/>
      <c r="I143" s="295"/>
      <c r="J143" s="378">
        <v>389.01047517839504</v>
      </c>
      <c r="K143" s="378">
        <v>796.92396977521798</v>
      </c>
      <c r="L143" s="378">
        <v>1949.9371127896989</v>
      </c>
      <c r="M143" s="378">
        <v>3631.6535417047603</v>
      </c>
      <c r="N143" s="378">
        <v>4348.3663797576537</v>
      </c>
      <c r="O143" s="378">
        <v>5922.215199393715</v>
      </c>
      <c r="P143" s="378">
        <v>7430.4885421623985</v>
      </c>
      <c r="Q143" s="378">
        <v>8331.1864132185437</v>
      </c>
    </row>
    <row r="144" spans="4:17" x14ac:dyDescent="0.15">
      <c r="D144" s="429">
        <v>4</v>
      </c>
      <c r="E144" s="378">
        <v>2</v>
      </c>
      <c r="F144" s="378"/>
      <c r="G144" s="295"/>
      <c r="H144" s="295"/>
      <c r="I144" s="295"/>
      <c r="J144" s="295"/>
      <c r="K144" s="378">
        <v>778.02095035679008</v>
      </c>
      <c r="L144" s="378">
        <v>1593.847939550436</v>
      </c>
      <c r="M144" s="378">
        <v>3899.8742255793977</v>
      </c>
      <c r="N144" s="378">
        <v>7263.3070834095206</v>
      </c>
      <c r="O144" s="378">
        <v>8696.7327595153074</v>
      </c>
      <c r="P144" s="378">
        <v>11844.43039878743</v>
      </c>
      <c r="Q144" s="378">
        <v>14860.977084324797</v>
      </c>
    </row>
    <row r="145" spans="4:17" x14ac:dyDescent="0.15">
      <c r="D145" s="429">
        <v>5</v>
      </c>
      <c r="E145" s="378">
        <v>5</v>
      </c>
      <c r="F145" s="378"/>
      <c r="G145" s="295"/>
      <c r="H145" s="295"/>
      <c r="I145" s="295"/>
      <c r="J145" s="295"/>
      <c r="K145" s="295"/>
      <c r="L145" s="378">
        <v>1116.6107922582046</v>
      </c>
      <c r="M145" s="378">
        <v>2214.1524867904109</v>
      </c>
      <c r="N145" s="378">
        <v>5197.049736885192</v>
      </c>
      <c r="O145" s="378">
        <v>9464.6854777609642</v>
      </c>
      <c r="P145" s="378">
        <v>11320.349804764075</v>
      </c>
      <c r="Q145" s="378">
        <v>15292.015228408853</v>
      </c>
    </row>
    <row r="146" spans="4:17" x14ac:dyDescent="0.15">
      <c r="D146" s="429">
        <v>6</v>
      </c>
      <c r="E146" s="378">
        <v>0</v>
      </c>
      <c r="F146" s="378"/>
      <c r="G146" s="295"/>
      <c r="H146" s="295"/>
      <c r="I146" s="295"/>
      <c r="J146" s="295"/>
      <c r="K146" s="295"/>
      <c r="L146" s="295"/>
      <c r="M146" s="378">
        <v>1152.6768344977347</v>
      </c>
      <c r="N146" s="378">
        <v>1774.7404988189298</v>
      </c>
      <c r="O146" s="378">
        <v>2577.655639287555</v>
      </c>
      <c r="P146" s="378">
        <v>3084.4129879925058</v>
      </c>
      <c r="Q146" s="378">
        <v>3595.4708429595339</v>
      </c>
    </row>
    <row r="147" spans="4:17" x14ac:dyDescent="0.15">
      <c r="D147" s="429">
        <v>7</v>
      </c>
      <c r="E147" s="378">
        <v>0</v>
      </c>
      <c r="F147" s="378"/>
      <c r="G147" s="295"/>
      <c r="H147" s="295"/>
      <c r="I147" s="295"/>
      <c r="J147" s="295"/>
      <c r="K147" s="295"/>
      <c r="L147" s="295"/>
      <c r="M147" s="295"/>
      <c r="N147" s="378">
        <v>576.33841724886736</v>
      </c>
      <c r="O147" s="378">
        <v>887.37024940946492</v>
      </c>
      <c r="P147" s="378">
        <v>1288.8278196437775</v>
      </c>
      <c r="Q147" s="378">
        <v>1542.2064939962529</v>
      </c>
    </row>
    <row r="148" spans="4:17" hidden="1" outlineLevel="1" x14ac:dyDescent="0.15">
      <c r="D148" s="429">
        <v>8</v>
      </c>
      <c r="E148" s="378">
        <v>1</v>
      </c>
      <c r="F148" s="378"/>
      <c r="G148" s="295"/>
      <c r="H148" s="295"/>
      <c r="I148" s="295"/>
      <c r="J148" s="295"/>
      <c r="K148" s="295"/>
      <c r="L148" s="295"/>
      <c r="M148" s="295"/>
      <c r="N148" s="295"/>
      <c r="O148" s="378">
        <v>0</v>
      </c>
      <c r="P148" s="378">
        <v>0</v>
      </c>
      <c r="Q148" s="378">
        <v>0</v>
      </c>
    </row>
    <row r="149" spans="4:17" hidden="1" outlineLevel="1" x14ac:dyDescent="0.15">
      <c r="D149" s="429">
        <v>9</v>
      </c>
      <c r="E149" s="378">
        <v>0</v>
      </c>
      <c r="F149" s="378"/>
      <c r="G149" s="295"/>
      <c r="H149" s="295"/>
      <c r="I149" s="295"/>
      <c r="J149" s="295"/>
      <c r="K149" s="295"/>
      <c r="L149" s="295"/>
      <c r="M149" s="295"/>
      <c r="N149" s="295"/>
      <c r="O149" s="295"/>
      <c r="P149" s="378">
        <v>0</v>
      </c>
      <c r="Q149" s="378">
        <v>0</v>
      </c>
    </row>
    <row r="150" spans="4:17" hidden="1" outlineLevel="1" x14ac:dyDescent="0.15">
      <c r="D150" s="429">
        <v>10</v>
      </c>
      <c r="E150" s="378">
        <v>0</v>
      </c>
      <c r="F150" s="378"/>
      <c r="G150" s="295"/>
      <c r="H150" s="252"/>
      <c r="I150" s="252"/>
      <c r="J150" s="252"/>
      <c r="K150" s="252"/>
      <c r="L150" s="252"/>
      <c r="M150" s="252"/>
      <c r="N150" s="295"/>
      <c r="O150" s="295"/>
      <c r="P150" s="295"/>
      <c r="Q150" s="378">
        <v>0</v>
      </c>
    </row>
    <row r="151" spans="4:17" collapsed="1" x14ac:dyDescent="0.15">
      <c r="D151" s="429" t="s">
        <v>340</v>
      </c>
      <c r="E151" s="430"/>
      <c r="F151" s="295"/>
      <c r="G151" s="295"/>
      <c r="H151" s="430">
        <v>146.47703615179191</v>
      </c>
      <c r="I151" s="430">
        <v>420.57086697829811</v>
      </c>
      <c r="J151" s="430">
        <v>1404.4717548378408</v>
      </c>
      <c r="K151" s="430">
        <v>3477.0591197586637</v>
      </c>
      <c r="L151" s="430">
        <v>6941.8021650198953</v>
      </c>
      <c r="M151" s="430">
        <v>13996.928181874267</v>
      </c>
      <c r="N151" s="430">
        <v>23023.826820144401</v>
      </c>
      <c r="O151" s="430">
        <v>31875.293962957418</v>
      </c>
      <c r="P151" s="430">
        <v>39814.802592244188</v>
      </c>
      <c r="Q151" s="430">
        <v>49052.044020300673</v>
      </c>
    </row>
    <row r="152" spans="4:17" x14ac:dyDescent="0.15">
      <c r="D152" s="295"/>
      <c r="E152" s="295"/>
      <c r="F152" s="295"/>
      <c r="G152" s="295"/>
      <c r="H152" s="295"/>
      <c r="I152" s="295"/>
      <c r="J152" s="295"/>
      <c r="K152" s="295"/>
      <c r="L152" s="295"/>
      <c r="M152" s="295"/>
      <c r="N152" s="295"/>
      <c r="O152" s="295"/>
      <c r="P152" s="295"/>
      <c r="Q152" s="295"/>
    </row>
    <row r="153" spans="4:17" x14ac:dyDescent="0.15">
      <c r="D153" s="428" t="s">
        <v>204</v>
      </c>
      <c r="E153" s="295"/>
      <c r="F153" s="295"/>
      <c r="G153" s="81" t="s">
        <v>337</v>
      </c>
      <c r="H153" s="51">
        <v>68.832636355932749</v>
      </c>
      <c r="I153" s="51">
        <v>241.11518825991234</v>
      </c>
      <c r="J153" s="51">
        <v>891.12926637062128</v>
      </c>
      <c r="K153" s="51">
        <v>1952.5658982876309</v>
      </c>
      <c r="L153" s="51">
        <v>2354.5726428150151</v>
      </c>
      <c r="M153" s="51">
        <v>3378.2862547989757</v>
      </c>
      <c r="N153" s="51">
        <v>4353.0172353519283</v>
      </c>
      <c r="O153" s="51">
        <v>4908.4495901340415</v>
      </c>
      <c r="P153" s="51">
        <v>5535.4025543502039</v>
      </c>
      <c r="Q153" s="51">
        <v>6243.1531796799527</v>
      </c>
    </row>
    <row r="154" spans="4:17" x14ac:dyDescent="0.15">
      <c r="D154" s="428"/>
      <c r="E154" s="295"/>
      <c r="F154" s="295"/>
      <c r="G154" s="81" t="s">
        <v>338</v>
      </c>
      <c r="H154" s="51">
        <v>65.566564906270727</v>
      </c>
      <c r="I154" s="51">
        <v>100.95079091122943</v>
      </c>
      <c r="J154" s="51">
        <v>146.62221077168215</v>
      </c>
      <c r="K154" s="51">
        <v>175.44758281108017</v>
      </c>
      <c r="L154" s="51">
        <v>204.51757625217851</v>
      </c>
      <c r="M154" s="51">
        <v>221.37438641365813</v>
      </c>
      <c r="N154" s="51">
        <v>239.63848301027255</v>
      </c>
      <c r="O154" s="51">
        <v>259.42835372584676</v>
      </c>
      <c r="P154" s="51">
        <v>280.87251762398301</v>
      </c>
      <c r="Q154" s="51">
        <v>304.1103774426071</v>
      </c>
    </row>
    <row r="155" spans="4:17" x14ac:dyDescent="0.15">
      <c r="D155" s="295"/>
      <c r="E155" s="81" t="s">
        <v>337</v>
      </c>
      <c r="F155" s="295"/>
      <c r="G155" s="295"/>
      <c r="H155" s="378"/>
      <c r="I155" s="378"/>
      <c r="J155" s="378"/>
      <c r="K155" s="378"/>
      <c r="L155" s="378"/>
      <c r="M155" s="378"/>
      <c r="N155" s="378"/>
      <c r="O155" s="378"/>
      <c r="P155" s="378"/>
      <c r="Q155" s="378"/>
    </row>
    <row r="156" spans="4:17" x14ac:dyDescent="0.15">
      <c r="D156" s="429">
        <v>1</v>
      </c>
      <c r="E156" s="378">
        <v>1</v>
      </c>
      <c r="F156" s="378"/>
      <c r="G156" s="295"/>
      <c r="H156" s="378">
        <v>199.9657661684742</v>
      </c>
      <c r="I156" s="378">
        <v>443.01677008237118</v>
      </c>
      <c r="J156" s="378">
        <v>1184.3736879139856</v>
      </c>
      <c r="K156" s="378">
        <v>2303.4610639097914</v>
      </c>
      <c r="L156" s="378">
        <v>2763.6077953193721</v>
      </c>
      <c r="M156" s="378">
        <v>3821.035027626292</v>
      </c>
      <c r="N156" s="378">
        <v>4832.2942013724733</v>
      </c>
      <c r="O156" s="378">
        <v>5427.3062975857347</v>
      </c>
      <c r="P156" s="378">
        <v>6097.1475895981703</v>
      </c>
      <c r="Q156" s="378">
        <v>6851.3739345651666</v>
      </c>
    </row>
    <row r="157" spans="4:17" x14ac:dyDescent="0.15">
      <c r="D157" s="429">
        <v>2</v>
      </c>
      <c r="E157" s="378">
        <v>0</v>
      </c>
      <c r="F157" s="378"/>
      <c r="G157" s="295"/>
      <c r="H157" s="295"/>
      <c r="I157" s="378">
        <v>131.13312981254145</v>
      </c>
      <c r="J157" s="378">
        <v>201.90158182245887</v>
      </c>
      <c r="K157" s="378">
        <v>293.2444215433643</v>
      </c>
      <c r="L157" s="378">
        <v>350.89516562216033</v>
      </c>
      <c r="M157" s="378">
        <v>409.03515250435703</v>
      </c>
      <c r="N157" s="378">
        <v>442.74877282731626</v>
      </c>
      <c r="O157" s="378">
        <v>479.2769660205451</v>
      </c>
      <c r="P157" s="378">
        <v>518.85670745169352</v>
      </c>
      <c r="Q157" s="378">
        <v>561.74503524796603</v>
      </c>
    </row>
    <row r="158" spans="4:17" x14ac:dyDescent="0.15">
      <c r="D158" s="429">
        <v>3</v>
      </c>
      <c r="E158" s="378">
        <v>2</v>
      </c>
      <c r="F158" s="378"/>
      <c r="G158" s="295"/>
      <c r="H158" s="295"/>
      <c r="I158" s="295"/>
      <c r="J158" s="378">
        <v>531.06466214948978</v>
      </c>
      <c r="K158" s="378">
        <v>1087.9351219872012</v>
      </c>
      <c r="L158" s="378">
        <v>2661.9917973713355</v>
      </c>
      <c r="M158" s="378">
        <v>4957.8172934417435</v>
      </c>
      <c r="N158" s="378">
        <v>5936.2507431431013</v>
      </c>
      <c r="O158" s="378">
        <v>8084.8188280799004</v>
      </c>
      <c r="P158" s="378">
        <v>10143.865368765491</v>
      </c>
      <c r="Q158" s="378">
        <v>11373.469302623163</v>
      </c>
    </row>
    <row r="159" spans="4:17" x14ac:dyDescent="0.15">
      <c r="D159" s="429">
        <v>4</v>
      </c>
      <c r="E159" s="378">
        <v>4</v>
      </c>
      <c r="F159" s="378"/>
      <c r="G159" s="295"/>
      <c r="H159" s="295"/>
      <c r="I159" s="295"/>
      <c r="J159" s="295"/>
      <c r="K159" s="378">
        <v>1062.1293242989796</v>
      </c>
      <c r="L159" s="378">
        <v>2175.8702439744025</v>
      </c>
      <c r="M159" s="378">
        <v>5323.9835947426709</v>
      </c>
      <c r="N159" s="378">
        <v>9915.6345868834869</v>
      </c>
      <c r="O159" s="378">
        <v>11872.501486286203</v>
      </c>
      <c r="P159" s="378">
        <v>16169.637656159801</v>
      </c>
      <c r="Q159" s="378">
        <v>20287.730737530983</v>
      </c>
    </row>
    <row r="160" spans="4:17" x14ac:dyDescent="0.15">
      <c r="D160" s="429">
        <v>5</v>
      </c>
      <c r="E160" s="378">
        <v>5</v>
      </c>
      <c r="F160" s="378"/>
      <c r="G160" s="295"/>
      <c r="H160" s="295"/>
      <c r="I160" s="295"/>
      <c r="J160" s="295"/>
      <c r="K160" s="295"/>
      <c r="L160" s="378">
        <v>1524.3613500925369</v>
      </c>
      <c r="M160" s="378">
        <v>3022.6901777016915</v>
      </c>
      <c r="N160" s="378">
        <v>7094.8461257433846</v>
      </c>
      <c r="O160" s="378">
        <v>12920.885982037598</v>
      </c>
      <c r="P160" s="378">
        <v>15454.179586614289</v>
      </c>
      <c r="Q160" s="378">
        <v>20876.170229440726</v>
      </c>
    </row>
    <row r="161" spans="4:17" x14ac:dyDescent="0.15">
      <c r="D161" s="429">
        <v>6</v>
      </c>
      <c r="E161" s="378">
        <v>0</v>
      </c>
      <c r="F161" s="378"/>
      <c r="G161" s="295"/>
      <c r="H161" s="295"/>
      <c r="I161" s="295"/>
      <c r="J161" s="295"/>
      <c r="K161" s="295"/>
      <c r="L161" s="295"/>
      <c r="M161" s="378">
        <v>1573.5975577504973</v>
      </c>
      <c r="N161" s="378">
        <v>2422.8189818695064</v>
      </c>
      <c r="O161" s="378">
        <v>3518.9330585203716</v>
      </c>
      <c r="P161" s="378">
        <v>4210.7419874659245</v>
      </c>
      <c r="Q161" s="378">
        <v>4908.4218300522843</v>
      </c>
    </row>
    <row r="162" spans="4:17" x14ac:dyDescent="0.15">
      <c r="D162" s="429">
        <v>7</v>
      </c>
      <c r="E162" s="378">
        <v>0</v>
      </c>
      <c r="F162" s="378"/>
      <c r="G162" s="295"/>
      <c r="H162" s="295"/>
      <c r="I162" s="295"/>
      <c r="J162" s="295"/>
      <c r="K162" s="295"/>
      <c r="L162" s="295"/>
      <c r="M162" s="295"/>
      <c r="N162" s="378">
        <v>786.79877887524867</v>
      </c>
      <c r="O162" s="378">
        <v>1211.4094909347532</v>
      </c>
      <c r="P162" s="378">
        <v>1759.4665292601858</v>
      </c>
      <c r="Q162" s="378">
        <v>2105.3709937329622</v>
      </c>
    </row>
    <row r="163" spans="4:17" hidden="1" outlineLevel="1" x14ac:dyDescent="0.15">
      <c r="D163" s="429">
        <v>8</v>
      </c>
      <c r="E163" s="378">
        <v>0</v>
      </c>
      <c r="F163" s="378"/>
      <c r="G163" s="295"/>
      <c r="H163" s="295"/>
      <c r="I163" s="295"/>
      <c r="J163" s="295"/>
      <c r="K163" s="295"/>
      <c r="L163" s="295"/>
      <c r="M163" s="295"/>
      <c r="N163" s="295"/>
      <c r="O163" s="378">
        <v>0</v>
      </c>
      <c r="P163" s="378">
        <v>0</v>
      </c>
      <c r="Q163" s="378">
        <v>0</v>
      </c>
    </row>
    <row r="164" spans="4:17" hidden="1" outlineLevel="1" x14ac:dyDescent="0.15">
      <c r="D164" s="429">
        <v>9</v>
      </c>
      <c r="E164" s="378">
        <v>0</v>
      </c>
      <c r="F164" s="378"/>
      <c r="G164" s="295"/>
      <c r="H164" s="295"/>
      <c r="I164" s="295"/>
      <c r="J164" s="295"/>
      <c r="K164" s="295"/>
      <c r="L164" s="295"/>
      <c r="M164" s="295"/>
      <c r="N164" s="295"/>
      <c r="O164" s="295"/>
      <c r="P164" s="378">
        <v>0</v>
      </c>
      <c r="Q164" s="378">
        <v>0</v>
      </c>
    </row>
    <row r="165" spans="4:17" hidden="1" outlineLevel="1" x14ac:dyDescent="0.15">
      <c r="D165" s="429">
        <v>10</v>
      </c>
      <c r="E165" s="378">
        <v>0</v>
      </c>
      <c r="F165" s="378"/>
      <c r="G165" s="295"/>
      <c r="H165" s="252"/>
      <c r="I165" s="252"/>
      <c r="J165" s="252"/>
      <c r="K165" s="252"/>
      <c r="L165" s="252"/>
      <c r="M165" s="252"/>
      <c r="N165" s="295"/>
      <c r="O165" s="295"/>
      <c r="P165" s="295"/>
      <c r="Q165" s="378">
        <v>0</v>
      </c>
    </row>
    <row r="166" spans="4:17" collapsed="1" x14ac:dyDescent="0.15">
      <c r="D166" s="429" t="s">
        <v>340</v>
      </c>
      <c r="E166" s="430"/>
      <c r="F166" s="295"/>
      <c r="G166" s="295"/>
      <c r="H166" s="430">
        <v>199.9657661684742</v>
      </c>
      <c r="I166" s="430">
        <v>574.14989989491266</v>
      </c>
      <c r="J166" s="430">
        <v>1917.3399318859342</v>
      </c>
      <c r="K166" s="430">
        <v>4746.7699317393362</v>
      </c>
      <c r="L166" s="430">
        <v>9476.7263523798065</v>
      </c>
      <c r="M166" s="430">
        <v>19108.158803767252</v>
      </c>
      <c r="N166" s="430">
        <v>31431.392190714516</v>
      </c>
      <c r="O166" s="430">
        <v>43515.132109465114</v>
      </c>
      <c r="P166" s="430">
        <v>54353.895425315553</v>
      </c>
      <c r="Q166" s="430">
        <v>66964.282063193255</v>
      </c>
    </row>
    <row r="167" spans="4:17" x14ac:dyDescent="0.15">
      <c r="D167" s="295"/>
      <c r="E167" s="295"/>
      <c r="F167" s="295"/>
      <c r="G167" s="295"/>
      <c r="H167" s="295"/>
      <c r="I167" s="295"/>
      <c r="J167" s="295"/>
      <c r="K167" s="295"/>
      <c r="L167" s="295"/>
      <c r="M167" s="295"/>
      <c r="N167" s="295"/>
      <c r="O167" s="295"/>
      <c r="P167" s="295"/>
      <c r="Q167" s="295"/>
    </row>
    <row r="168" spans="4:17" x14ac:dyDescent="0.15">
      <c r="D168" s="295" t="s">
        <v>206</v>
      </c>
      <c r="E168" s="295"/>
      <c r="F168" s="295"/>
      <c r="G168" s="295">
        <v>0</v>
      </c>
      <c r="H168" s="51">
        <v>-33.868347676308559</v>
      </c>
      <c r="I168" s="51">
        <v>-96.997901813485555</v>
      </c>
      <c r="J168" s="51">
        <v>-315.33771561825074</v>
      </c>
      <c r="K168" s="51">
        <v>-770.02956502782081</v>
      </c>
      <c r="L168" s="51">
        <v>-1523.4795005975275</v>
      </c>
      <c r="M168" s="51">
        <v>-3040.8236246919387</v>
      </c>
      <c r="N168" s="51">
        <v>-4905.4859717019463</v>
      </c>
      <c r="O168" s="51">
        <v>-6645.9806214618657</v>
      </c>
      <c r="P168" s="51">
        <v>-8148.9810880372024</v>
      </c>
      <c r="Q168" s="51">
        <v>-9956.9249903757809</v>
      </c>
    </row>
    <row r="169" spans="4:17" x14ac:dyDescent="0.15">
      <c r="D169" s="272" t="s">
        <v>207</v>
      </c>
      <c r="E169" s="295"/>
      <c r="F169" s="295"/>
      <c r="G169" s="295"/>
      <c r="H169" s="51">
        <v>-33.868347676308559</v>
      </c>
      <c r="I169" s="51">
        <v>-63.129554137176996</v>
      </c>
      <c r="J169" s="51">
        <v>-218.33981380476519</v>
      </c>
      <c r="K169" s="51">
        <v>-454.69184940957007</v>
      </c>
      <c r="L169" s="51">
        <v>-753.44993556970667</v>
      </c>
      <c r="M169" s="51">
        <v>-1517.3441240944112</v>
      </c>
      <c r="N169" s="51">
        <v>-1864.6623470100076</v>
      </c>
      <c r="O169" s="51">
        <v>-1740.4946497599194</v>
      </c>
      <c r="P169" s="51">
        <v>-1503.0004665753368</v>
      </c>
      <c r="Q169" s="51">
        <v>-1807.9439023385785</v>
      </c>
    </row>
    <row r="209" spans="1:19" x14ac:dyDescent="0.15">
      <c r="G209" s="39"/>
    </row>
    <row r="210" spans="1:19" x14ac:dyDescent="0.15">
      <c r="G210" s="39"/>
    </row>
    <row r="211" spans="1:19" x14ac:dyDescent="0.15">
      <c r="G211" s="39"/>
    </row>
    <row r="212" spans="1:19" x14ac:dyDescent="0.15">
      <c r="G212" s="39"/>
    </row>
    <row r="213" spans="1:19" x14ac:dyDescent="0.15">
      <c r="G213" s="39"/>
    </row>
    <row r="214" spans="1:19" s="39" customFormat="1" x14ac:dyDescent="0.15">
      <c r="A214" s="36"/>
      <c r="B214" s="36"/>
      <c r="C214" s="36"/>
      <c r="R214" s="18"/>
      <c r="S214" s="18"/>
    </row>
    <row r="215" spans="1:19" s="39" customFormat="1" x14ac:dyDescent="0.15">
      <c r="A215" s="36"/>
      <c r="B215" s="36"/>
      <c r="C215" s="36"/>
      <c r="R215" s="18"/>
      <c r="S215" s="18"/>
    </row>
    <row r="216" spans="1:19" s="39" customFormat="1" x14ac:dyDescent="0.15">
      <c r="A216" s="36"/>
      <c r="B216" s="36"/>
      <c r="C216" s="36"/>
      <c r="R216" s="18"/>
      <c r="S216" s="18"/>
    </row>
    <row r="217" spans="1:19" s="39" customFormat="1" x14ac:dyDescent="0.15">
      <c r="A217" s="36"/>
      <c r="B217" s="36"/>
      <c r="C217" s="36"/>
      <c r="R217" s="18"/>
      <c r="S217" s="18"/>
    </row>
    <row r="218" spans="1:19" s="39" customFormat="1" x14ac:dyDescent="0.15">
      <c r="A218" s="36"/>
      <c r="B218" s="36"/>
      <c r="C218" s="36"/>
      <c r="R218" s="18"/>
      <c r="S218" s="18"/>
    </row>
    <row r="219" spans="1:19" s="39" customFormat="1" x14ac:dyDescent="0.15">
      <c r="A219" s="36"/>
      <c r="B219" s="36"/>
      <c r="C219" s="36"/>
      <c r="R219" s="18"/>
      <c r="S219" s="18"/>
    </row>
    <row r="220" spans="1:19" s="39" customFormat="1" x14ac:dyDescent="0.15">
      <c r="A220" s="36"/>
      <c r="B220" s="36"/>
      <c r="C220" s="36"/>
      <c r="R220" s="18"/>
      <c r="S220" s="18"/>
    </row>
    <row r="221" spans="1:19" s="39" customFormat="1" x14ac:dyDescent="0.15">
      <c r="A221" s="36"/>
      <c r="B221" s="36"/>
      <c r="C221" s="36"/>
      <c r="R221" s="18"/>
      <c r="S221" s="18"/>
    </row>
    <row r="222" spans="1:19" s="39" customFormat="1" x14ac:dyDescent="0.15">
      <c r="A222" s="36"/>
      <c r="B222" s="36"/>
      <c r="C222" s="36"/>
      <c r="R222" s="18"/>
      <c r="S222" s="18"/>
    </row>
    <row r="223" spans="1:19" s="39" customFormat="1" x14ac:dyDescent="0.15">
      <c r="A223" s="36"/>
      <c r="B223" s="36"/>
      <c r="C223" s="36"/>
      <c r="R223" s="18"/>
      <c r="S223" s="18"/>
    </row>
    <row r="224" spans="1:19" s="39" customFormat="1" x14ac:dyDescent="0.15">
      <c r="A224" s="36"/>
      <c r="B224" s="36"/>
      <c r="C224" s="36"/>
      <c r="R224" s="18"/>
      <c r="S224" s="18"/>
    </row>
    <row r="225" spans="1:19" s="39" customFormat="1" x14ac:dyDescent="0.15">
      <c r="A225" s="36"/>
      <c r="B225" s="36"/>
      <c r="C225" s="36"/>
      <c r="R225" s="18"/>
      <c r="S225" s="18"/>
    </row>
    <row r="226" spans="1:19" s="39" customFormat="1" x14ac:dyDescent="0.15">
      <c r="A226" s="36"/>
      <c r="B226" s="36"/>
      <c r="C226" s="36"/>
      <c r="R226" s="18"/>
      <c r="S226" s="18"/>
    </row>
    <row r="227" spans="1:19" s="39" customFormat="1" x14ac:dyDescent="0.15">
      <c r="A227" s="36"/>
      <c r="B227" s="36"/>
      <c r="C227" s="36"/>
      <c r="R227" s="18"/>
      <c r="S227" s="18"/>
    </row>
    <row r="228" spans="1:19" s="39" customFormat="1" x14ac:dyDescent="0.15">
      <c r="A228" s="36"/>
      <c r="B228" s="36"/>
      <c r="C228" s="36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18"/>
      <c r="S228" s="18"/>
    </row>
    <row r="229" spans="1:19" s="39" customFormat="1" x14ac:dyDescent="0.15">
      <c r="A229" s="36"/>
      <c r="B229" s="36"/>
      <c r="C229" s="36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18"/>
      <c r="S229" s="18"/>
    </row>
    <row r="230" spans="1:19" s="39" customFormat="1" x14ac:dyDescent="0.15">
      <c r="A230" s="36"/>
      <c r="B230" s="36"/>
      <c r="C230" s="36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18"/>
      <c r="S230" s="18"/>
    </row>
    <row r="231" spans="1:19" s="39" customFormat="1" x14ac:dyDescent="0.15">
      <c r="A231" s="36"/>
      <c r="B231" s="36"/>
      <c r="C231" s="36"/>
      <c r="E231" s="388"/>
      <c r="F231" s="388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18"/>
      <c r="S231" s="18"/>
    </row>
    <row r="232" spans="1:19" s="39" customFormat="1" x14ac:dyDescent="0.15">
      <c r="A232" s="36"/>
      <c r="B232" s="36"/>
      <c r="C232" s="36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18"/>
      <c r="S232" s="18"/>
    </row>
    <row r="233" spans="1:19" s="39" customFormat="1" x14ac:dyDescent="0.15">
      <c r="A233" s="36"/>
      <c r="B233" s="36"/>
      <c r="C233" s="36"/>
      <c r="R233" s="18"/>
      <c r="S233" s="18"/>
    </row>
    <row r="234" spans="1:19" s="39" customFormat="1" x14ac:dyDescent="0.15">
      <c r="A234" s="36"/>
      <c r="B234" s="36"/>
      <c r="C234" s="36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18"/>
      <c r="S234" s="18"/>
    </row>
    <row r="235" spans="1:19" s="39" customFormat="1" x14ac:dyDescent="0.15">
      <c r="A235" s="36"/>
      <c r="B235" s="36"/>
      <c r="C235" s="36"/>
      <c r="H235" s="388"/>
      <c r="I235" s="388"/>
      <c r="J235" s="388"/>
      <c r="K235" s="388"/>
      <c r="L235" s="388"/>
      <c r="M235" s="388"/>
      <c r="N235" s="388"/>
      <c r="O235" s="388"/>
      <c r="P235" s="388"/>
      <c r="Q235" s="388"/>
      <c r="R235" s="18"/>
      <c r="S235" s="18"/>
    </row>
    <row r="236" spans="1:19" s="39" customFormat="1" x14ac:dyDescent="0.15">
      <c r="A236" s="36"/>
      <c r="B236" s="36"/>
      <c r="C236" s="36"/>
      <c r="R236" s="18"/>
      <c r="S236" s="18"/>
    </row>
    <row r="237" spans="1:19" s="39" customFormat="1" x14ac:dyDescent="0.15">
      <c r="A237" s="36"/>
      <c r="B237" s="36"/>
      <c r="C237" s="36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18"/>
      <c r="S237" s="18"/>
    </row>
    <row r="238" spans="1:19" s="39" customFormat="1" x14ac:dyDescent="0.15">
      <c r="A238" s="36"/>
      <c r="B238" s="36"/>
      <c r="C238" s="36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18"/>
      <c r="S238" s="18"/>
    </row>
    <row r="239" spans="1:19" s="39" customFormat="1" x14ac:dyDescent="0.15">
      <c r="A239" s="36"/>
      <c r="B239" s="36"/>
      <c r="C239" s="36"/>
      <c r="H239" s="388"/>
      <c r="I239" s="388"/>
      <c r="J239" s="388"/>
      <c r="K239" s="388"/>
      <c r="L239" s="388"/>
      <c r="M239" s="388"/>
      <c r="N239" s="388"/>
      <c r="O239" s="388"/>
      <c r="P239" s="388"/>
      <c r="Q239" s="388"/>
      <c r="R239" s="18"/>
      <c r="S239" s="18"/>
    </row>
    <row r="240" spans="1:19" s="39" customFormat="1" x14ac:dyDescent="0.15">
      <c r="A240" s="36"/>
      <c r="B240" s="36"/>
      <c r="C240" s="36"/>
      <c r="R240" s="18"/>
      <c r="S240" s="18"/>
    </row>
    <row r="241" spans="1:19" s="39" customFormat="1" x14ac:dyDescent="0.15">
      <c r="A241" s="36"/>
      <c r="B241" s="36"/>
      <c r="C241" s="36"/>
      <c r="E241" s="379"/>
      <c r="F241" s="379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18"/>
      <c r="S241" s="18"/>
    </row>
    <row r="242" spans="1:19" s="39" customFormat="1" x14ac:dyDescent="0.15">
      <c r="A242" s="36"/>
      <c r="B242" s="36"/>
      <c r="C242" s="36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18"/>
      <c r="S242" s="18"/>
    </row>
    <row r="243" spans="1:19" s="39" customFormat="1" x14ac:dyDescent="0.15">
      <c r="A243" s="36"/>
      <c r="B243" s="36"/>
      <c r="C243" s="36"/>
      <c r="G243" s="36"/>
      <c r="R243" s="18"/>
      <c r="S243" s="18"/>
    </row>
    <row r="244" spans="1:19" s="39" customFormat="1" x14ac:dyDescent="0.15">
      <c r="A244" s="36"/>
      <c r="B244" s="36"/>
      <c r="C244" s="36"/>
      <c r="G244" s="36"/>
      <c r="R244" s="18"/>
      <c r="S244" s="18"/>
    </row>
    <row r="245" spans="1:19" s="39" customFormat="1" ht="16" x14ac:dyDescent="0.2">
      <c r="A245" s="36"/>
      <c r="B245" s="36"/>
      <c r="C245" s="36"/>
      <c r="G245" s="38"/>
      <c r="R245" s="18"/>
      <c r="S245" s="18"/>
    </row>
    <row r="246" spans="1:19" s="39" customFormat="1" ht="16" x14ac:dyDescent="0.2">
      <c r="A246" s="36"/>
      <c r="B246" s="36"/>
      <c r="C246" s="36"/>
      <c r="G246" s="437"/>
      <c r="R246" s="18"/>
      <c r="S246" s="18"/>
    </row>
    <row r="247" spans="1:19" s="39" customFormat="1" x14ac:dyDescent="0.15">
      <c r="A247" s="36"/>
      <c r="B247" s="36"/>
      <c r="C247" s="36"/>
      <c r="G247" s="15"/>
      <c r="R247" s="18"/>
      <c r="S247" s="18"/>
    </row>
    <row r="248" spans="1:19" s="36" customFormat="1" x14ac:dyDescent="0.15">
      <c r="G248" s="15"/>
      <c r="R248" s="2"/>
      <c r="S248" s="3"/>
    </row>
    <row r="249" spans="1:19" s="36" customFormat="1" ht="8" customHeight="1" x14ac:dyDescent="0.15">
      <c r="G249" s="39"/>
      <c r="R249" s="2"/>
      <c r="S249" s="2"/>
    </row>
    <row r="250" spans="1:19" s="36" customFormat="1" ht="20" customHeight="1" x14ac:dyDescent="0.2">
      <c r="D250" s="83"/>
      <c r="E250" s="38"/>
      <c r="F250" s="38"/>
      <c r="G250" s="39"/>
      <c r="H250" s="38"/>
      <c r="I250" s="38"/>
      <c r="J250" s="38"/>
      <c r="K250" s="38"/>
      <c r="L250" s="38"/>
      <c r="M250" s="38"/>
      <c r="N250" s="38"/>
      <c r="O250" s="38"/>
      <c r="P250" s="8"/>
      <c r="Q250" s="8"/>
      <c r="R250" s="8"/>
      <c r="S250" s="8"/>
    </row>
    <row r="251" spans="1:19" s="36" customFormat="1" ht="3" customHeight="1" x14ac:dyDescent="0.2">
      <c r="D251" s="438"/>
      <c r="E251" s="437"/>
      <c r="F251" s="437"/>
      <c r="G251" s="29"/>
      <c r="H251" s="437"/>
      <c r="I251" s="437"/>
      <c r="J251" s="437"/>
      <c r="K251" s="437"/>
      <c r="L251" s="437"/>
      <c r="M251" s="437"/>
      <c r="N251" s="437"/>
      <c r="O251" s="437"/>
      <c r="P251" s="439"/>
      <c r="Q251" s="439"/>
      <c r="R251" s="12"/>
      <c r="S251" s="12"/>
    </row>
    <row r="252" spans="1:19" s="36" customFormat="1" ht="2" customHeight="1" x14ac:dyDescent="0.15">
      <c r="D252" s="15"/>
      <c r="E252" s="15"/>
      <c r="F252" s="15"/>
      <c r="G252" s="39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4"/>
      <c r="S252" s="14"/>
    </row>
    <row r="253" spans="1:19" s="36" customFormat="1" ht="5.25" customHeight="1" x14ac:dyDescent="0.15">
      <c r="D253" s="15"/>
      <c r="E253" s="15"/>
      <c r="F253" s="15"/>
      <c r="G253" s="39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4"/>
      <c r="S253" s="14"/>
    </row>
    <row r="254" spans="1:19" s="39" customFormat="1" x14ac:dyDescent="0.15">
      <c r="A254" s="36"/>
      <c r="B254" s="36"/>
      <c r="C254" s="36"/>
      <c r="D254" s="440"/>
      <c r="R254" s="18"/>
      <c r="S254" s="18"/>
    </row>
    <row r="255" spans="1:19" s="39" customFormat="1" x14ac:dyDescent="0.15">
      <c r="A255" s="36"/>
      <c r="B255" s="36"/>
      <c r="C255" s="36"/>
      <c r="H255" s="441"/>
      <c r="I255" s="441"/>
      <c r="J255" s="441"/>
      <c r="K255" s="441"/>
      <c r="L255" s="441"/>
      <c r="M255" s="441"/>
      <c r="N255" s="441"/>
      <c r="O255" s="441"/>
      <c r="P255" s="441"/>
      <c r="Q255" s="441"/>
      <c r="R255" s="18"/>
      <c r="S255" s="18"/>
    </row>
    <row r="256" spans="1:19" s="39" customFormat="1" x14ac:dyDescent="0.15">
      <c r="A256" s="36"/>
      <c r="B256" s="36"/>
      <c r="C256" s="36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18"/>
      <c r="S256" s="18"/>
    </row>
    <row r="257" spans="1:19" s="39" customFormat="1" x14ac:dyDescent="0.15">
      <c r="A257" s="36"/>
      <c r="B257" s="36"/>
      <c r="C257" s="36"/>
      <c r="R257" s="18"/>
      <c r="S257" s="18"/>
    </row>
    <row r="258" spans="1:19" s="39" customFormat="1" x14ac:dyDescent="0.15">
      <c r="A258" s="36"/>
      <c r="B258" s="36"/>
      <c r="C258" s="36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18"/>
      <c r="S258" s="18"/>
    </row>
    <row r="259" spans="1:19" s="39" customFormat="1" x14ac:dyDescent="0.15">
      <c r="A259" s="36"/>
      <c r="B259" s="36"/>
      <c r="C259" s="36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18"/>
      <c r="S259" s="18"/>
    </row>
    <row r="260" spans="1:19" s="39" customFormat="1" x14ac:dyDescent="0.15">
      <c r="A260" s="36"/>
      <c r="B260" s="36"/>
      <c r="C260" s="36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18"/>
      <c r="S260" s="18"/>
    </row>
    <row r="261" spans="1:19" s="39" customFormat="1" x14ac:dyDescent="0.15">
      <c r="A261" s="36"/>
      <c r="B261" s="36"/>
      <c r="C261" s="36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18"/>
      <c r="S261" s="18"/>
    </row>
    <row r="262" spans="1:19" s="39" customFormat="1" x14ac:dyDescent="0.15">
      <c r="A262" s="36"/>
      <c r="B262" s="36"/>
      <c r="C262" s="36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18"/>
      <c r="S262" s="18"/>
    </row>
    <row r="263" spans="1:19" s="39" customFormat="1" x14ac:dyDescent="0.15">
      <c r="A263" s="36"/>
      <c r="B263" s="36"/>
      <c r="C263" s="36"/>
      <c r="G263" s="33"/>
      <c r="R263" s="18"/>
      <c r="S263" s="18"/>
    </row>
    <row r="264" spans="1:19" s="39" customFormat="1" x14ac:dyDescent="0.15">
      <c r="A264" s="36"/>
      <c r="B264" s="36"/>
      <c r="C264" s="36"/>
      <c r="G264" s="33"/>
      <c r="R264" s="18"/>
      <c r="S264" s="18"/>
    </row>
    <row r="265" spans="1:19" s="39" customFormat="1" x14ac:dyDescent="0.15">
      <c r="A265" s="36"/>
      <c r="B265" s="36"/>
      <c r="C265" s="36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18"/>
      <c r="S265" s="18"/>
    </row>
    <row r="266" spans="1:19" s="39" customFormat="1" x14ac:dyDescent="0.15">
      <c r="A266" s="36"/>
      <c r="B266" s="36"/>
      <c r="C266" s="36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18"/>
      <c r="S266" s="18"/>
    </row>
    <row r="267" spans="1:19" s="39" customFormat="1" x14ac:dyDescent="0.15">
      <c r="A267" s="36"/>
      <c r="B267" s="36"/>
      <c r="C267" s="36"/>
      <c r="G267" s="20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18"/>
      <c r="S267" s="18"/>
    </row>
    <row r="268" spans="1:19" s="39" customFormat="1" x14ac:dyDescent="0.15">
      <c r="A268" s="442"/>
      <c r="B268" s="442"/>
      <c r="C268" s="442"/>
      <c r="G268" s="388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18"/>
      <c r="S268" s="18"/>
    </row>
    <row r="269" spans="1:19" s="39" customFormat="1" x14ac:dyDescent="0.15">
      <c r="A269" s="442"/>
      <c r="B269" s="442"/>
      <c r="C269" s="442"/>
      <c r="G269" s="44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18"/>
      <c r="S269" s="18"/>
    </row>
    <row r="270" spans="1:19" s="39" customFormat="1" x14ac:dyDescent="0.15">
      <c r="A270" s="442"/>
      <c r="B270" s="442"/>
      <c r="C270" s="442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18"/>
      <c r="S270" s="18"/>
    </row>
    <row r="271" spans="1:19" s="39" customFormat="1" x14ac:dyDescent="0.15">
      <c r="A271" s="442"/>
      <c r="B271" s="442"/>
      <c r="C271" s="442"/>
      <c r="G271" s="2"/>
      <c r="R271" s="18"/>
      <c r="S271" s="18"/>
    </row>
    <row r="272" spans="1:19" s="39" customFormat="1" x14ac:dyDescent="0.15">
      <c r="A272" s="442"/>
      <c r="B272" s="442"/>
      <c r="C272" s="442"/>
      <c r="E272" s="20"/>
      <c r="F272" s="20"/>
      <c r="G272" s="2"/>
      <c r="R272" s="18"/>
      <c r="S272" s="18"/>
    </row>
    <row r="273" spans="1:19" s="39" customFormat="1" ht="16" x14ac:dyDescent="0.2">
      <c r="A273" s="442"/>
      <c r="B273" s="442"/>
      <c r="C273" s="442"/>
      <c r="E273" s="388"/>
      <c r="F273" s="388"/>
      <c r="G273" s="38"/>
      <c r="R273" s="18"/>
      <c r="S273" s="18"/>
    </row>
    <row r="274" spans="1:19" s="39" customFormat="1" ht="16" x14ac:dyDescent="0.2">
      <c r="A274" s="442"/>
      <c r="B274" s="442"/>
      <c r="C274" s="442"/>
      <c r="E274" s="443"/>
      <c r="F274" s="443"/>
      <c r="G274" s="38"/>
      <c r="R274" s="18"/>
      <c r="S274" s="18"/>
    </row>
    <row r="275" spans="1:19" s="39" customFormat="1" x14ac:dyDescent="0.15">
      <c r="A275" s="442"/>
      <c r="B275" s="442"/>
      <c r="C275" s="442"/>
      <c r="G275" s="14"/>
      <c r="R275" s="18"/>
      <c r="S275" s="18"/>
    </row>
    <row r="276" spans="1:19" s="2" customFormat="1" x14ac:dyDescent="0.15">
      <c r="G276" s="14"/>
      <c r="S276" s="3"/>
    </row>
    <row r="277" spans="1:19" s="2" customFormat="1" ht="8" customHeight="1" x14ac:dyDescent="0.15">
      <c r="G277" s="18"/>
    </row>
    <row r="278" spans="1:19" s="2" customFormat="1" ht="20" customHeight="1" x14ac:dyDescent="0.2">
      <c r="D278" s="83"/>
      <c r="E278" s="38"/>
      <c r="F278" s="38"/>
      <c r="G278" s="39"/>
      <c r="H278" s="38"/>
      <c r="I278" s="38"/>
      <c r="J278" s="38"/>
      <c r="K278" s="38"/>
      <c r="L278" s="38"/>
      <c r="M278" s="38"/>
      <c r="N278" s="38"/>
      <c r="O278" s="38"/>
      <c r="P278" s="8"/>
      <c r="Q278" s="8"/>
      <c r="R278" s="8"/>
      <c r="S278" s="8"/>
    </row>
    <row r="279" spans="1:19" s="2" customFormat="1" ht="3" customHeight="1" x14ac:dyDescent="0.2">
      <c r="D279" s="84"/>
      <c r="E279" s="38"/>
      <c r="F279" s="38"/>
      <c r="G279" s="39"/>
      <c r="H279" s="38"/>
      <c r="I279" s="38"/>
      <c r="J279" s="38"/>
      <c r="K279" s="38"/>
      <c r="L279" s="38"/>
      <c r="M279" s="38"/>
      <c r="N279" s="38"/>
      <c r="O279" s="38"/>
      <c r="P279" s="12"/>
      <c r="Q279" s="12"/>
      <c r="R279" s="12"/>
      <c r="S279" s="12"/>
    </row>
    <row r="280" spans="1:19" s="2" customFormat="1" ht="2" customHeight="1" x14ac:dyDescent="0.15">
      <c r="D280" s="14"/>
      <c r="E280" s="14"/>
      <c r="F280" s="14"/>
      <c r="G280" s="39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</row>
    <row r="281" spans="1:19" s="2" customFormat="1" ht="5.25" customHeight="1" x14ac:dyDescent="0.15">
      <c r="D281" s="14"/>
      <c r="E281" s="14"/>
      <c r="F281" s="14"/>
      <c r="G281" s="39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</row>
    <row r="282" spans="1:19" s="18" customFormat="1" x14ac:dyDescent="0.15">
      <c r="A282" s="85"/>
      <c r="B282" s="85"/>
      <c r="C282" s="85"/>
      <c r="G282" s="39"/>
    </row>
    <row r="283" spans="1:19" s="39" customFormat="1" x14ac:dyDescent="0.15">
      <c r="A283" s="442"/>
      <c r="B283" s="442"/>
      <c r="C283" s="442"/>
      <c r="R283" s="18"/>
      <c r="S283" s="18"/>
    </row>
    <row r="284" spans="1:19" s="39" customFormat="1" x14ac:dyDescent="0.15">
      <c r="A284" s="442"/>
      <c r="B284" s="442"/>
      <c r="C284" s="442"/>
      <c r="R284" s="18"/>
      <c r="S284" s="18"/>
    </row>
    <row r="285" spans="1:19" s="39" customFormat="1" x14ac:dyDescent="0.15">
      <c r="A285" s="442"/>
      <c r="B285" s="442"/>
      <c r="C285" s="442"/>
      <c r="R285" s="18"/>
      <c r="S285" s="18"/>
    </row>
    <row r="286" spans="1:19" s="39" customFormat="1" x14ac:dyDescent="0.15">
      <c r="A286" s="442"/>
      <c r="B286" s="442"/>
      <c r="C286" s="442"/>
      <c r="R286" s="18"/>
      <c r="S286" s="18"/>
    </row>
    <row r="287" spans="1:19" s="39" customFormat="1" x14ac:dyDescent="0.15">
      <c r="A287" s="442"/>
      <c r="B287" s="442"/>
      <c r="C287" s="442"/>
      <c r="R287" s="18"/>
      <c r="S287" s="18"/>
    </row>
    <row r="288" spans="1:19" s="39" customFormat="1" x14ac:dyDescent="0.15">
      <c r="A288" s="442"/>
      <c r="B288" s="442"/>
      <c r="C288" s="442"/>
      <c r="R288" s="18"/>
      <c r="S288" s="18"/>
    </row>
    <row r="289" spans="1:19" s="39" customFormat="1" x14ac:dyDescent="0.15">
      <c r="A289" s="442"/>
      <c r="B289" s="442"/>
      <c r="C289" s="442"/>
      <c r="R289" s="18"/>
      <c r="S289" s="18"/>
    </row>
    <row r="290" spans="1:19" s="39" customFormat="1" x14ac:dyDescent="0.15">
      <c r="A290" s="442"/>
      <c r="B290" s="442"/>
      <c r="C290" s="442"/>
      <c r="R290" s="18"/>
      <c r="S290" s="18"/>
    </row>
    <row r="291" spans="1:19" s="39" customFormat="1" x14ac:dyDescent="0.15">
      <c r="A291" s="442"/>
      <c r="B291" s="442"/>
      <c r="C291" s="442"/>
      <c r="R291" s="18"/>
      <c r="S291" s="18"/>
    </row>
    <row r="292" spans="1:19" s="39" customFormat="1" x14ac:dyDescent="0.15">
      <c r="A292" s="442"/>
      <c r="B292" s="442"/>
      <c r="C292" s="442"/>
      <c r="R292" s="18"/>
      <c r="S292" s="18"/>
    </row>
    <row r="293" spans="1:19" s="39" customFormat="1" x14ac:dyDescent="0.15">
      <c r="A293" s="442"/>
      <c r="B293" s="442"/>
      <c r="C293" s="442"/>
      <c r="R293" s="18"/>
      <c r="S293" s="18"/>
    </row>
    <row r="294" spans="1:19" s="39" customFormat="1" x14ac:dyDescent="0.15">
      <c r="A294" s="442"/>
      <c r="B294" s="442"/>
      <c r="C294" s="442"/>
      <c r="R294" s="18"/>
      <c r="S294" s="18"/>
    </row>
    <row r="295" spans="1:19" s="39" customFormat="1" x14ac:dyDescent="0.15">
      <c r="A295" s="442"/>
      <c r="B295" s="442"/>
      <c r="C295" s="442"/>
      <c r="R295" s="18"/>
      <c r="S295" s="18"/>
    </row>
    <row r="296" spans="1:19" s="39" customFormat="1" x14ac:dyDescent="0.15">
      <c r="A296" s="442"/>
      <c r="B296" s="442"/>
      <c r="C296" s="442"/>
      <c r="R296" s="18"/>
      <c r="S296" s="18"/>
    </row>
    <row r="297" spans="1:19" s="39" customFormat="1" x14ac:dyDescent="0.15">
      <c r="A297" s="442"/>
      <c r="B297" s="442"/>
      <c r="C297" s="442"/>
      <c r="R297" s="18"/>
      <c r="S297" s="18"/>
    </row>
    <row r="298" spans="1:19" s="39" customFormat="1" x14ac:dyDescent="0.15">
      <c r="A298" s="442"/>
      <c r="B298" s="442"/>
      <c r="C298" s="442"/>
      <c r="R298" s="18"/>
      <c r="S298" s="18"/>
    </row>
    <row r="299" spans="1:19" s="39" customFormat="1" x14ac:dyDescent="0.15">
      <c r="A299" s="442"/>
      <c r="B299" s="442"/>
      <c r="C299" s="442"/>
      <c r="R299" s="18"/>
      <c r="S299" s="18"/>
    </row>
    <row r="300" spans="1:19" s="39" customFormat="1" x14ac:dyDescent="0.15">
      <c r="A300" s="442"/>
      <c r="B300" s="442"/>
      <c r="C300" s="442"/>
      <c r="R300" s="18"/>
      <c r="S300" s="18"/>
    </row>
    <row r="301" spans="1:19" s="39" customFormat="1" x14ac:dyDescent="0.15">
      <c r="A301" s="442"/>
      <c r="B301" s="442"/>
      <c r="C301" s="442"/>
      <c r="R301" s="18"/>
      <c r="S301" s="18"/>
    </row>
    <row r="302" spans="1:19" s="39" customFormat="1" x14ac:dyDescent="0.15">
      <c r="A302" s="442"/>
      <c r="B302" s="442"/>
      <c r="C302" s="442"/>
      <c r="R302" s="18"/>
      <c r="S302" s="18"/>
    </row>
    <row r="303" spans="1:19" s="39" customFormat="1" x14ac:dyDescent="0.15">
      <c r="A303" s="442"/>
      <c r="B303" s="442"/>
      <c r="C303" s="442"/>
      <c r="R303" s="18"/>
      <c r="S303" s="18"/>
    </row>
    <row r="304" spans="1:19" s="39" customFormat="1" x14ac:dyDescent="0.15">
      <c r="A304" s="442"/>
      <c r="B304" s="442"/>
      <c r="C304" s="442"/>
      <c r="R304" s="18"/>
      <c r="S304" s="18"/>
    </row>
    <row r="305" spans="1:19" s="39" customFormat="1" x14ac:dyDescent="0.15">
      <c r="A305" s="442"/>
      <c r="B305" s="442"/>
      <c r="C305" s="442"/>
      <c r="R305" s="18"/>
      <c r="S305" s="18"/>
    </row>
    <row r="306" spans="1:19" s="39" customFormat="1" x14ac:dyDescent="0.15">
      <c r="A306" s="442"/>
      <c r="B306" s="442"/>
      <c r="C306" s="442"/>
      <c r="R306" s="18"/>
      <c r="S306" s="18"/>
    </row>
    <row r="307" spans="1:19" s="39" customFormat="1" x14ac:dyDescent="0.15">
      <c r="A307" s="442"/>
      <c r="B307" s="442"/>
      <c r="C307" s="442"/>
      <c r="R307" s="18"/>
      <c r="S307" s="18"/>
    </row>
    <row r="308" spans="1:19" s="39" customFormat="1" x14ac:dyDescent="0.15">
      <c r="A308" s="442"/>
      <c r="B308" s="442"/>
      <c r="C308" s="442"/>
      <c r="R308" s="18"/>
      <c r="S308" s="18"/>
    </row>
    <row r="309" spans="1:19" s="39" customFormat="1" x14ac:dyDescent="0.15">
      <c r="A309" s="442"/>
      <c r="B309" s="442"/>
      <c r="C309" s="442"/>
      <c r="R309" s="18"/>
      <c r="S309" s="18"/>
    </row>
    <row r="310" spans="1:19" s="39" customFormat="1" x14ac:dyDescent="0.15">
      <c r="A310" s="442"/>
      <c r="B310" s="442"/>
      <c r="C310" s="442"/>
      <c r="R310" s="18"/>
      <c r="S310" s="18"/>
    </row>
    <row r="311" spans="1:19" s="39" customFormat="1" x14ac:dyDescent="0.15">
      <c r="A311" s="442"/>
      <c r="B311" s="442"/>
      <c r="C311" s="442"/>
      <c r="R311" s="18"/>
      <c r="S311" s="18"/>
    </row>
    <row r="312" spans="1:19" s="39" customFormat="1" x14ac:dyDescent="0.15">
      <c r="A312" s="442"/>
      <c r="B312" s="442"/>
      <c r="C312" s="442"/>
      <c r="R312" s="18"/>
      <c r="S312" s="18"/>
    </row>
    <row r="313" spans="1:19" s="39" customFormat="1" x14ac:dyDescent="0.15">
      <c r="A313" s="442"/>
      <c r="B313" s="442"/>
      <c r="C313" s="442"/>
      <c r="R313" s="18"/>
      <c r="S313" s="18"/>
    </row>
    <row r="314" spans="1:19" s="39" customFormat="1" x14ac:dyDescent="0.15">
      <c r="A314" s="442"/>
      <c r="B314" s="442"/>
      <c r="C314" s="442"/>
      <c r="R314" s="18"/>
      <c r="S314" s="18"/>
    </row>
    <row r="315" spans="1:19" s="39" customFormat="1" x14ac:dyDescent="0.15">
      <c r="A315" s="442"/>
      <c r="B315" s="442"/>
      <c r="C315" s="442"/>
      <c r="R315" s="18"/>
      <c r="S315" s="18"/>
    </row>
    <row r="316" spans="1:19" s="39" customFormat="1" x14ac:dyDescent="0.15">
      <c r="A316" s="442"/>
      <c r="B316" s="442"/>
      <c r="C316" s="442"/>
      <c r="R316" s="18"/>
      <c r="S316" s="18"/>
    </row>
    <row r="317" spans="1:19" s="39" customFormat="1" x14ac:dyDescent="0.15">
      <c r="A317" s="442"/>
      <c r="B317" s="442"/>
      <c r="C317" s="442"/>
      <c r="R317" s="18"/>
      <c r="S317" s="18"/>
    </row>
    <row r="318" spans="1:19" s="39" customFormat="1" x14ac:dyDescent="0.15">
      <c r="A318" s="442"/>
      <c r="B318" s="442"/>
      <c r="C318" s="442"/>
      <c r="R318" s="18"/>
      <c r="S318" s="18"/>
    </row>
    <row r="319" spans="1:19" s="39" customFormat="1" x14ac:dyDescent="0.15">
      <c r="A319" s="442"/>
      <c r="B319" s="442"/>
      <c r="C319" s="442"/>
      <c r="R319" s="18"/>
      <c r="S319" s="18"/>
    </row>
    <row r="320" spans="1:19" s="39" customFormat="1" x14ac:dyDescent="0.15">
      <c r="A320" s="442"/>
      <c r="B320" s="442"/>
      <c r="C320" s="442"/>
      <c r="R320" s="18"/>
      <c r="S320" s="18"/>
    </row>
    <row r="321" spans="1:19" s="39" customFormat="1" x14ac:dyDescent="0.15">
      <c r="A321" s="442"/>
      <c r="B321" s="442"/>
      <c r="C321" s="442"/>
      <c r="R321" s="18"/>
      <c r="S321" s="18"/>
    </row>
    <row r="322" spans="1:19" s="39" customFormat="1" x14ac:dyDescent="0.15">
      <c r="A322" s="442"/>
      <c r="B322" s="442"/>
      <c r="C322" s="442"/>
      <c r="R322" s="18"/>
      <c r="S322" s="18"/>
    </row>
    <row r="323" spans="1:19" s="39" customFormat="1" x14ac:dyDescent="0.15">
      <c r="A323" s="442"/>
      <c r="B323" s="442"/>
      <c r="C323" s="442"/>
      <c r="R323" s="18"/>
      <c r="S323" s="18"/>
    </row>
    <row r="324" spans="1:19" s="39" customFormat="1" x14ac:dyDescent="0.15">
      <c r="A324" s="442"/>
      <c r="B324" s="442"/>
      <c r="C324" s="442"/>
      <c r="R324" s="18"/>
      <c r="S324" s="18"/>
    </row>
    <row r="325" spans="1:19" s="39" customFormat="1" x14ac:dyDescent="0.15">
      <c r="A325" s="442"/>
      <c r="B325" s="442"/>
      <c r="C325" s="442"/>
      <c r="R325" s="18"/>
      <c r="S325" s="18"/>
    </row>
    <row r="326" spans="1:19" s="39" customFormat="1" x14ac:dyDescent="0.15">
      <c r="A326" s="442"/>
      <c r="B326" s="442"/>
      <c r="C326" s="442"/>
      <c r="R326" s="18"/>
      <c r="S326" s="18"/>
    </row>
    <row r="327" spans="1:19" s="39" customFormat="1" x14ac:dyDescent="0.15">
      <c r="A327" s="442"/>
      <c r="B327" s="442"/>
      <c r="C327" s="442"/>
      <c r="R327" s="18"/>
      <c r="S327" s="18"/>
    </row>
    <row r="328" spans="1:19" s="39" customFormat="1" x14ac:dyDescent="0.15">
      <c r="A328" s="442"/>
      <c r="B328" s="442"/>
      <c r="C328" s="442"/>
      <c r="R328" s="18"/>
      <c r="S328" s="18"/>
    </row>
    <row r="329" spans="1:19" s="39" customFormat="1" x14ac:dyDescent="0.15">
      <c r="A329" s="442"/>
      <c r="B329" s="442"/>
      <c r="C329" s="442"/>
      <c r="R329" s="18"/>
      <c r="S329" s="18"/>
    </row>
    <row r="330" spans="1:19" s="39" customFormat="1" x14ac:dyDescent="0.15">
      <c r="A330" s="442"/>
      <c r="B330" s="442"/>
      <c r="C330" s="442"/>
      <c r="R330" s="18"/>
      <c r="S330" s="18"/>
    </row>
    <row r="331" spans="1:19" s="39" customFormat="1" x14ac:dyDescent="0.15">
      <c r="A331" s="442"/>
      <c r="B331" s="442"/>
      <c r="C331" s="442"/>
      <c r="R331" s="18"/>
      <c r="S331" s="18"/>
    </row>
    <row r="332" spans="1:19" s="39" customFormat="1" x14ac:dyDescent="0.15">
      <c r="A332" s="442"/>
      <c r="B332" s="442"/>
      <c r="C332" s="442"/>
      <c r="R332" s="18"/>
      <c r="S332" s="18"/>
    </row>
    <row r="333" spans="1:19" s="39" customFormat="1" x14ac:dyDescent="0.15">
      <c r="A333" s="442"/>
      <c r="B333" s="442"/>
      <c r="C333" s="442"/>
      <c r="R333" s="18"/>
      <c r="S333" s="18"/>
    </row>
    <row r="334" spans="1:19" s="39" customFormat="1" x14ac:dyDescent="0.15">
      <c r="A334" s="442"/>
      <c r="B334" s="442"/>
      <c r="C334" s="442"/>
      <c r="R334" s="18"/>
      <c r="S334" s="18"/>
    </row>
    <row r="335" spans="1:19" s="39" customFormat="1" x14ac:dyDescent="0.15">
      <c r="A335" s="442"/>
      <c r="B335" s="442"/>
      <c r="C335" s="442"/>
      <c r="R335" s="18"/>
      <c r="S335" s="18"/>
    </row>
    <row r="336" spans="1:19" s="39" customFormat="1" x14ac:dyDescent="0.15">
      <c r="A336" s="442"/>
      <c r="B336" s="442"/>
      <c r="C336" s="442"/>
      <c r="R336" s="18"/>
      <c r="S336" s="18"/>
    </row>
    <row r="337" spans="1:19" s="39" customFormat="1" x14ac:dyDescent="0.15">
      <c r="A337" s="442"/>
      <c r="B337" s="442"/>
      <c r="C337" s="442"/>
      <c r="R337" s="18"/>
      <c r="S337" s="18"/>
    </row>
    <row r="338" spans="1:19" s="39" customFormat="1" x14ac:dyDescent="0.15">
      <c r="A338" s="442"/>
      <c r="B338" s="442"/>
      <c r="C338" s="442"/>
      <c r="R338" s="18"/>
      <c r="S338" s="18"/>
    </row>
    <row r="339" spans="1:19" s="39" customFormat="1" x14ac:dyDescent="0.15">
      <c r="A339" s="442"/>
      <c r="B339" s="442"/>
      <c r="C339" s="442"/>
      <c r="R339" s="18"/>
      <c r="S339" s="18"/>
    </row>
    <row r="340" spans="1:19" s="39" customFormat="1" x14ac:dyDescent="0.15">
      <c r="A340" s="442"/>
      <c r="B340" s="442"/>
      <c r="C340" s="442"/>
      <c r="R340" s="18"/>
      <c r="S340" s="18"/>
    </row>
    <row r="341" spans="1:19" s="39" customFormat="1" x14ac:dyDescent="0.15">
      <c r="A341" s="442"/>
      <c r="B341" s="442"/>
      <c r="C341" s="442"/>
      <c r="R341" s="18"/>
      <c r="S341" s="18"/>
    </row>
    <row r="342" spans="1:19" s="39" customFormat="1" x14ac:dyDescent="0.15">
      <c r="A342" s="442"/>
      <c r="B342" s="442"/>
      <c r="C342" s="442"/>
      <c r="R342" s="18"/>
      <c r="S342" s="18"/>
    </row>
    <row r="343" spans="1:19" s="39" customFormat="1" x14ac:dyDescent="0.15">
      <c r="A343" s="442"/>
      <c r="B343" s="442"/>
      <c r="C343" s="442"/>
      <c r="R343" s="18"/>
      <c r="S343" s="18"/>
    </row>
    <row r="344" spans="1:19" s="39" customFormat="1" x14ac:dyDescent="0.15">
      <c r="A344" s="442"/>
      <c r="B344" s="442"/>
      <c r="C344" s="442"/>
      <c r="R344" s="18"/>
      <c r="S344" s="18"/>
    </row>
    <row r="345" spans="1:19" s="39" customFormat="1" x14ac:dyDescent="0.15">
      <c r="A345" s="442"/>
      <c r="B345" s="442"/>
      <c r="C345" s="442"/>
      <c r="R345" s="18"/>
      <c r="S345" s="18"/>
    </row>
    <row r="346" spans="1:19" s="39" customFormat="1" x14ac:dyDescent="0.15">
      <c r="A346" s="442"/>
      <c r="B346" s="442"/>
      <c r="C346" s="442"/>
      <c r="R346" s="18"/>
      <c r="S346" s="18"/>
    </row>
    <row r="347" spans="1:19" s="39" customFormat="1" x14ac:dyDescent="0.15">
      <c r="A347" s="442"/>
      <c r="B347" s="442"/>
      <c r="C347" s="442"/>
      <c r="R347" s="18"/>
      <c r="S347" s="18"/>
    </row>
    <row r="348" spans="1:19" s="39" customFormat="1" x14ac:dyDescent="0.15">
      <c r="A348" s="442"/>
      <c r="B348" s="442"/>
      <c r="C348" s="442"/>
      <c r="R348" s="18"/>
      <c r="S348" s="18"/>
    </row>
    <row r="349" spans="1:19" s="39" customFormat="1" x14ac:dyDescent="0.15">
      <c r="A349" s="442"/>
      <c r="B349" s="442"/>
      <c r="C349" s="442"/>
      <c r="R349" s="18"/>
      <c r="S349" s="18"/>
    </row>
    <row r="350" spans="1:19" s="39" customFormat="1" x14ac:dyDescent="0.15">
      <c r="A350" s="442"/>
      <c r="B350" s="442"/>
      <c r="C350" s="442"/>
      <c r="R350" s="18"/>
      <c r="S350" s="18"/>
    </row>
    <row r="351" spans="1:19" s="39" customFormat="1" x14ac:dyDescent="0.15">
      <c r="A351" s="442"/>
      <c r="B351" s="442"/>
      <c r="C351" s="442"/>
      <c r="R351" s="18"/>
      <c r="S351" s="18"/>
    </row>
    <row r="352" spans="1:19" s="39" customFormat="1" x14ac:dyDescent="0.15">
      <c r="A352" s="442"/>
      <c r="B352" s="442"/>
      <c r="C352" s="442"/>
      <c r="R352" s="18"/>
      <c r="S352" s="18"/>
    </row>
    <row r="353" spans="1:19" s="39" customFormat="1" x14ac:dyDescent="0.15">
      <c r="A353" s="442"/>
      <c r="B353" s="442"/>
      <c r="C353" s="442"/>
      <c r="R353" s="18"/>
      <c r="S353" s="18"/>
    </row>
    <row r="354" spans="1:19" s="39" customFormat="1" x14ac:dyDescent="0.15">
      <c r="A354" s="442"/>
      <c r="B354" s="442"/>
      <c r="C354" s="442"/>
      <c r="R354" s="18"/>
      <c r="S354" s="18"/>
    </row>
    <row r="355" spans="1:19" s="39" customFormat="1" x14ac:dyDescent="0.15">
      <c r="A355" s="442"/>
      <c r="B355" s="442"/>
      <c r="C355" s="442"/>
      <c r="R355" s="18"/>
      <c r="S355" s="18"/>
    </row>
    <row r="356" spans="1:19" s="39" customFormat="1" x14ac:dyDescent="0.15">
      <c r="A356" s="442"/>
      <c r="B356" s="442"/>
      <c r="C356" s="442"/>
      <c r="R356" s="18"/>
      <c r="S356" s="18"/>
    </row>
    <row r="357" spans="1:19" s="39" customFormat="1" x14ac:dyDescent="0.15">
      <c r="A357" s="442"/>
      <c r="B357" s="442"/>
      <c r="C357" s="442"/>
      <c r="R357" s="18"/>
      <c r="S357" s="18"/>
    </row>
    <row r="358" spans="1:19" s="39" customFormat="1" x14ac:dyDescent="0.15">
      <c r="A358" s="442"/>
      <c r="B358" s="442"/>
      <c r="C358" s="442"/>
      <c r="R358" s="18"/>
      <c r="S358" s="18"/>
    </row>
    <row r="359" spans="1:19" s="39" customFormat="1" x14ac:dyDescent="0.15">
      <c r="A359" s="442"/>
      <c r="B359" s="442"/>
      <c r="C359" s="442"/>
      <c r="R359" s="18"/>
      <c r="S359" s="18"/>
    </row>
    <row r="360" spans="1:19" s="39" customFormat="1" x14ac:dyDescent="0.15">
      <c r="A360" s="442"/>
      <c r="B360" s="442"/>
      <c r="C360" s="442"/>
      <c r="R360" s="18"/>
      <c r="S360" s="18"/>
    </row>
    <row r="361" spans="1:19" s="39" customFormat="1" x14ac:dyDescent="0.15">
      <c r="A361" s="442"/>
      <c r="B361" s="442"/>
      <c r="C361" s="442"/>
      <c r="R361" s="18"/>
      <c r="S361" s="18"/>
    </row>
    <row r="362" spans="1:19" s="39" customFormat="1" x14ac:dyDescent="0.15">
      <c r="A362" s="442"/>
      <c r="B362" s="442"/>
      <c r="C362" s="442"/>
      <c r="R362" s="18"/>
      <c r="S362" s="18"/>
    </row>
    <row r="363" spans="1:19" s="39" customFormat="1" x14ac:dyDescent="0.15">
      <c r="A363" s="442"/>
      <c r="B363" s="442"/>
      <c r="C363" s="442"/>
      <c r="R363" s="18"/>
      <c r="S363" s="18"/>
    </row>
    <row r="364" spans="1:19" s="39" customFormat="1" x14ac:dyDescent="0.15">
      <c r="A364" s="442"/>
      <c r="B364" s="442"/>
      <c r="C364" s="442"/>
      <c r="R364" s="18"/>
      <c r="S364" s="18"/>
    </row>
    <row r="365" spans="1:19" s="39" customFormat="1" x14ac:dyDescent="0.15">
      <c r="A365" s="442"/>
      <c r="B365" s="442"/>
      <c r="C365" s="442"/>
      <c r="R365" s="18"/>
      <c r="S365" s="18"/>
    </row>
    <row r="366" spans="1:19" s="39" customFormat="1" x14ac:dyDescent="0.15">
      <c r="A366" s="442"/>
      <c r="B366" s="442"/>
      <c r="C366" s="442"/>
      <c r="R366" s="18"/>
      <c r="S366" s="18"/>
    </row>
    <row r="367" spans="1:19" s="39" customFormat="1" x14ac:dyDescent="0.15">
      <c r="A367" s="442"/>
      <c r="B367" s="442"/>
      <c r="C367" s="442"/>
      <c r="R367" s="18"/>
      <c r="S367" s="18"/>
    </row>
    <row r="368" spans="1:19" s="39" customFormat="1" x14ac:dyDescent="0.15">
      <c r="A368" s="442"/>
      <c r="B368" s="442"/>
      <c r="C368" s="442"/>
      <c r="R368" s="18"/>
      <c r="S368" s="18"/>
    </row>
    <row r="369" spans="1:19" s="39" customFormat="1" x14ac:dyDescent="0.15">
      <c r="A369" s="442"/>
      <c r="B369" s="442"/>
      <c r="C369" s="442"/>
      <c r="R369" s="18"/>
      <c r="S369" s="18"/>
    </row>
    <row r="370" spans="1:19" s="39" customFormat="1" x14ac:dyDescent="0.15">
      <c r="A370" s="442"/>
      <c r="B370" s="442"/>
      <c r="C370" s="442"/>
      <c r="R370" s="18"/>
      <c r="S370" s="18"/>
    </row>
    <row r="371" spans="1:19" s="39" customFormat="1" x14ac:dyDescent="0.15">
      <c r="A371" s="442"/>
      <c r="B371" s="442"/>
      <c r="C371" s="442"/>
      <c r="R371" s="18"/>
      <c r="S371" s="18"/>
    </row>
    <row r="372" spans="1:19" s="39" customFormat="1" x14ac:dyDescent="0.15">
      <c r="A372" s="442"/>
      <c r="B372" s="442"/>
      <c r="C372" s="442"/>
      <c r="R372" s="18"/>
      <c r="S372" s="18"/>
    </row>
    <row r="373" spans="1:19" s="39" customFormat="1" x14ac:dyDescent="0.15">
      <c r="A373" s="442"/>
      <c r="B373" s="442"/>
      <c r="C373" s="442"/>
      <c r="R373" s="18"/>
      <c r="S373" s="18"/>
    </row>
    <row r="374" spans="1:19" s="39" customFormat="1" x14ac:dyDescent="0.15">
      <c r="A374" s="442"/>
      <c r="B374" s="442"/>
      <c r="C374" s="442"/>
      <c r="R374" s="18"/>
      <c r="S374" s="18"/>
    </row>
    <row r="375" spans="1:19" s="39" customFormat="1" x14ac:dyDescent="0.15">
      <c r="A375" s="442"/>
      <c r="B375" s="442"/>
      <c r="C375" s="442"/>
      <c r="R375" s="18"/>
      <c r="S375" s="18"/>
    </row>
    <row r="376" spans="1:19" s="39" customFormat="1" x14ac:dyDescent="0.15">
      <c r="A376" s="442"/>
      <c r="B376" s="442"/>
      <c r="C376" s="442"/>
      <c r="R376" s="18"/>
      <c r="S376" s="18"/>
    </row>
    <row r="377" spans="1:19" s="39" customFormat="1" x14ac:dyDescent="0.15">
      <c r="A377" s="442"/>
      <c r="B377" s="442"/>
      <c r="C377" s="442"/>
      <c r="R377" s="18"/>
      <c r="S377" s="18"/>
    </row>
    <row r="378" spans="1:19" s="39" customFormat="1" x14ac:dyDescent="0.15">
      <c r="A378" s="442"/>
      <c r="B378" s="442"/>
      <c r="C378" s="442"/>
      <c r="R378" s="18"/>
      <c r="S378" s="18"/>
    </row>
    <row r="379" spans="1:19" s="39" customFormat="1" x14ac:dyDescent="0.15">
      <c r="A379" s="442"/>
      <c r="B379" s="442"/>
      <c r="C379" s="442"/>
      <c r="R379" s="18"/>
      <c r="S379" s="18"/>
    </row>
    <row r="380" spans="1:19" s="39" customFormat="1" x14ac:dyDescent="0.15">
      <c r="A380" s="442"/>
      <c r="B380" s="442"/>
      <c r="C380" s="442"/>
      <c r="R380" s="18"/>
      <c r="S380" s="18"/>
    </row>
    <row r="381" spans="1:19" s="39" customFormat="1" x14ac:dyDescent="0.15">
      <c r="A381" s="442"/>
      <c r="B381" s="442"/>
      <c r="C381" s="442"/>
      <c r="R381" s="18"/>
      <c r="S381" s="18"/>
    </row>
    <row r="382" spans="1:19" s="39" customFormat="1" x14ac:dyDescent="0.15">
      <c r="A382" s="442"/>
      <c r="B382" s="442"/>
      <c r="C382" s="442"/>
      <c r="R382" s="18"/>
      <c r="S382" s="18"/>
    </row>
    <row r="383" spans="1:19" s="39" customFormat="1" x14ac:dyDescent="0.15">
      <c r="A383" s="442"/>
      <c r="B383" s="442"/>
      <c r="C383" s="442"/>
      <c r="R383" s="18"/>
      <c r="S383" s="18"/>
    </row>
    <row r="384" spans="1:19" s="39" customFormat="1" x14ac:dyDescent="0.15">
      <c r="A384" s="442"/>
      <c r="B384" s="442"/>
      <c r="C384" s="442"/>
      <c r="R384" s="18"/>
      <c r="S384" s="18"/>
    </row>
    <row r="385" spans="1:19" s="39" customFormat="1" x14ac:dyDescent="0.15">
      <c r="A385" s="442"/>
      <c r="B385" s="442"/>
      <c r="C385" s="442"/>
      <c r="R385" s="18"/>
      <c r="S385" s="18"/>
    </row>
    <row r="386" spans="1:19" s="39" customFormat="1" x14ac:dyDescent="0.15">
      <c r="A386" s="442"/>
      <c r="B386" s="442"/>
      <c r="C386" s="442"/>
      <c r="R386" s="18"/>
      <c r="S386" s="18"/>
    </row>
    <row r="387" spans="1:19" s="39" customFormat="1" x14ac:dyDescent="0.15">
      <c r="A387" s="442"/>
      <c r="B387" s="442"/>
      <c r="C387" s="442"/>
      <c r="R387" s="18"/>
      <c r="S387" s="18"/>
    </row>
    <row r="388" spans="1:19" s="39" customFormat="1" x14ac:dyDescent="0.15">
      <c r="A388" s="442"/>
      <c r="B388" s="442"/>
      <c r="C388" s="442"/>
      <c r="R388" s="18"/>
      <c r="S388" s="18"/>
    </row>
    <row r="389" spans="1:19" s="39" customFormat="1" x14ac:dyDescent="0.15">
      <c r="A389" s="442"/>
      <c r="B389" s="442"/>
      <c r="C389" s="442"/>
      <c r="R389" s="18"/>
      <c r="S389" s="18"/>
    </row>
    <row r="390" spans="1:19" s="39" customFormat="1" x14ac:dyDescent="0.15">
      <c r="A390" s="442"/>
      <c r="B390" s="442"/>
      <c r="C390" s="442"/>
      <c r="R390" s="18"/>
      <c r="S390" s="18"/>
    </row>
    <row r="391" spans="1:19" s="39" customFormat="1" x14ac:dyDescent="0.15">
      <c r="A391" s="442"/>
      <c r="B391" s="442"/>
      <c r="C391" s="442"/>
      <c r="G391" s="17"/>
      <c r="R391" s="18"/>
      <c r="S391" s="18"/>
    </row>
    <row r="392" spans="1:19" s="39" customFormat="1" x14ac:dyDescent="0.15">
      <c r="A392" s="442"/>
      <c r="B392" s="442"/>
      <c r="C392" s="442"/>
      <c r="G392" s="17"/>
      <c r="R392" s="18"/>
      <c r="S392" s="18"/>
    </row>
    <row r="393" spans="1:19" s="39" customFormat="1" x14ac:dyDescent="0.15">
      <c r="A393" s="442"/>
      <c r="B393" s="442"/>
      <c r="C393" s="442"/>
      <c r="G393" s="17"/>
      <c r="R393" s="18"/>
      <c r="S393" s="18"/>
    </row>
    <row r="394" spans="1:19" s="39" customFormat="1" x14ac:dyDescent="0.15">
      <c r="A394" s="442"/>
      <c r="B394" s="442"/>
      <c r="C394" s="442"/>
      <c r="G394" s="17"/>
      <c r="R394" s="18"/>
      <c r="S394" s="18"/>
    </row>
    <row r="395" spans="1:19" s="39" customFormat="1" x14ac:dyDescent="0.15">
      <c r="A395" s="442"/>
      <c r="B395" s="442"/>
      <c r="C395" s="442"/>
      <c r="G395" s="17"/>
      <c r="R395" s="18"/>
      <c r="S395" s="18"/>
    </row>
    <row r="396" spans="1:19" x14ac:dyDescent="0.15">
      <c r="A396" s="56"/>
      <c r="B396" s="56"/>
      <c r="C396" s="56"/>
    </row>
    <row r="397" spans="1:19" x14ac:dyDescent="0.15">
      <c r="A397" s="56"/>
      <c r="B397" s="56"/>
      <c r="C397" s="56"/>
    </row>
    <row r="398" spans="1:19" x14ac:dyDescent="0.15">
      <c r="A398" s="56"/>
      <c r="B398" s="56"/>
      <c r="C398" s="56"/>
    </row>
    <row r="399" spans="1:19" x14ac:dyDescent="0.15">
      <c r="A399" s="56"/>
      <c r="B399" s="56"/>
      <c r="C399" s="56"/>
    </row>
    <row r="400" spans="1:19" x14ac:dyDescent="0.15">
      <c r="A400" s="56"/>
      <c r="B400" s="56"/>
      <c r="C400" s="56"/>
    </row>
    <row r="401" spans="1:3" x14ac:dyDescent="0.15">
      <c r="A401" s="56"/>
      <c r="B401" s="56"/>
      <c r="C401" s="56"/>
    </row>
    <row r="402" spans="1:3" x14ac:dyDescent="0.15">
      <c r="A402" s="56"/>
      <c r="B402" s="56"/>
      <c r="C402" s="56"/>
    </row>
  </sheetData>
  <mergeCells count="2">
    <mergeCell ref="V16:V19"/>
    <mergeCell ref="V20:V23"/>
  </mergeCells>
  <pageMargins left="0.75" right="0.75" top="1" bottom="1" header="0.5" footer="0.5"/>
  <pageSetup orientation="portrait" horizontalDpi="4294967292" verticalDpi="429496729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/>
    <outlinePr showOutlineSymbols="0"/>
    <pageSetUpPr fitToPage="1"/>
  </sheetPr>
  <dimension ref="A1:U87"/>
  <sheetViews>
    <sheetView showGridLines="0" showOutlineSymbols="0" topLeftCell="A25" workbookViewId="0">
      <selection activeCell="G66" sqref="G66"/>
    </sheetView>
  </sheetViews>
  <sheetFormatPr baseColWidth="10" defaultColWidth="11.5" defaultRowHeight="13" outlineLevelRow="4" x14ac:dyDescent="0.15"/>
  <cols>
    <col min="1" max="3" width="3.33203125" style="1" customWidth="1"/>
    <col min="4" max="4" width="24.6640625" style="17" customWidth="1"/>
    <col min="5" max="5" width="9.33203125" style="17" customWidth="1"/>
    <col min="6" max="16" width="11.33203125" style="17" customWidth="1"/>
    <col min="17" max="17" width="9.33203125" style="17" customWidth="1"/>
    <col min="18" max="18" width="9.33203125" style="17" bestFit="1" customWidth="1"/>
    <col min="19" max="19" width="14.5" style="17" bestFit="1" customWidth="1"/>
    <col min="20" max="21" width="11.5" style="18" customWidth="1"/>
    <col min="22" max="16384" width="11.5" style="17"/>
  </cols>
  <sheetData>
    <row r="1" spans="4:21" s="1" customFormat="1" ht="11.25" customHeight="1" x14ac:dyDescent="0.15">
      <c r="T1" s="2"/>
      <c r="U1" s="2"/>
    </row>
    <row r="2" spans="4:21" s="1" customFormat="1" x14ac:dyDescent="0.15">
      <c r="T2" s="2"/>
      <c r="U2" s="3"/>
    </row>
    <row r="3" spans="4:21" s="1" customFormat="1" ht="20" customHeight="1" x14ac:dyDescent="0.25">
      <c r="D3" s="4" t="s">
        <v>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7" t="str">
        <f ca="1">UPPER(ProjName)&amp;"  |  "&amp;UPPER(TEXT(NOW(),"mmmm d, yyyy"))</f>
        <v>ZIPFIT.ME  |  SEPTEMBER 12, 2016</v>
      </c>
      <c r="T3" s="2"/>
      <c r="U3" s="8"/>
    </row>
    <row r="4" spans="4:21" s="1" customFormat="1" ht="3" customHeight="1" x14ac:dyDescent="0.2"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  <c r="S4" s="11"/>
      <c r="T4" s="12"/>
      <c r="U4" s="12"/>
    </row>
    <row r="5" spans="4:21" s="1" customFormat="1" ht="2" customHeight="1" x14ac:dyDescent="0.15"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4"/>
      <c r="U5" s="14"/>
    </row>
    <row r="6" spans="4:21" s="1" customFormat="1" ht="5.25" customHeight="1" x14ac:dyDescent="0.15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4"/>
      <c r="U6" s="14"/>
    </row>
    <row r="7" spans="4:21" ht="18" x14ac:dyDescent="0.2">
      <c r="D7" s="16" t="s">
        <v>327</v>
      </c>
    </row>
    <row r="8" spans="4:21" x14ac:dyDescent="0.15">
      <c r="D8" s="19" t="s">
        <v>1</v>
      </c>
    </row>
    <row r="9" spans="4:21" x14ac:dyDescent="0.15">
      <c r="F9" s="20"/>
      <c r="G9" s="21" t="s">
        <v>2</v>
      </c>
      <c r="H9" s="22"/>
      <c r="I9" s="22"/>
      <c r="J9" s="22"/>
      <c r="K9" s="22"/>
      <c r="L9" s="22"/>
      <c r="M9" s="22"/>
      <c r="N9" s="22"/>
      <c r="O9" s="22"/>
      <c r="P9" s="22"/>
      <c r="Q9" s="23"/>
      <c r="R9" s="23"/>
      <c r="S9" s="23"/>
    </row>
    <row r="10" spans="4:21" outlineLevel="2" x14ac:dyDescent="0.15">
      <c r="D10" s="295"/>
      <c r="F10" s="24">
        <f>G10-1</f>
        <v>0</v>
      </c>
      <c r="G10" s="25">
        <v>1</v>
      </c>
      <c r="H10" s="25">
        <f t="shared" ref="H10:M10" si="0">G10+1</f>
        <v>2</v>
      </c>
      <c r="I10" s="25">
        <f t="shared" si="0"/>
        <v>3</v>
      </c>
      <c r="J10" s="25">
        <f t="shared" si="0"/>
        <v>4</v>
      </c>
      <c r="K10" s="25">
        <f t="shared" si="0"/>
        <v>5</v>
      </c>
      <c r="L10" s="25">
        <f t="shared" si="0"/>
        <v>6</v>
      </c>
      <c r="M10" s="25">
        <f t="shared" si="0"/>
        <v>7</v>
      </c>
      <c r="N10" s="41">
        <f>+N33</f>
        <v>8</v>
      </c>
      <c r="O10" s="41">
        <f>+O33</f>
        <v>9</v>
      </c>
      <c r="P10" s="41">
        <f>+P33</f>
        <v>10</v>
      </c>
      <c r="Q10" s="375"/>
      <c r="R10" s="26" t="s">
        <v>3</v>
      </c>
      <c r="S10" s="27"/>
      <c r="T10" s="28"/>
    </row>
    <row r="11" spans="4:21" outlineLevel="2" x14ac:dyDescent="0.15">
      <c r="F11" s="29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4:21" ht="11.25" customHeight="1" outlineLevel="3" x14ac:dyDescent="0.15">
      <c r="D12" s="17" t="s">
        <v>4</v>
      </c>
      <c r="F12" s="31"/>
      <c r="I12" s="32"/>
      <c r="J12" s="32"/>
      <c r="K12" s="32"/>
      <c r="L12" s="32"/>
      <c r="M12" s="32"/>
      <c r="N12" s="32"/>
      <c r="O12" s="32"/>
      <c r="P12" s="32"/>
      <c r="Q12" s="33"/>
      <c r="R12" s="33"/>
      <c r="S12" s="33"/>
    </row>
    <row r="13" spans="4:21" ht="11.25" customHeight="1" outlineLevel="3" x14ac:dyDescent="0.15">
      <c r="D13" s="34" t="s">
        <v>328</v>
      </c>
      <c r="F13" s="376">
        <v>200</v>
      </c>
      <c r="G13" s="377">
        <v>125</v>
      </c>
      <c r="H13" s="377">
        <v>150</v>
      </c>
      <c r="I13" s="32">
        <f>F13</f>
        <v>200</v>
      </c>
      <c r="J13" s="32">
        <f t="shared" ref="J13:P13" si="1">I13*(1+$F$14)</f>
        <v>202</v>
      </c>
      <c r="K13" s="32">
        <f t="shared" si="1"/>
        <v>204.02</v>
      </c>
      <c r="L13" s="32">
        <f t="shared" si="1"/>
        <v>206.06020000000001</v>
      </c>
      <c r="M13" s="32">
        <f t="shared" si="1"/>
        <v>208.120802</v>
      </c>
      <c r="N13" s="32">
        <f t="shared" si="1"/>
        <v>210.20201001999999</v>
      </c>
      <c r="O13" s="32">
        <f t="shared" si="1"/>
        <v>212.3040301202</v>
      </c>
      <c r="P13" s="32">
        <f t="shared" si="1"/>
        <v>214.42707042140199</v>
      </c>
      <c r="Q13" s="33"/>
      <c r="R13" s="378"/>
      <c r="S13" s="33"/>
    </row>
    <row r="14" spans="4:21" ht="11.25" customHeight="1" outlineLevel="3" x14ac:dyDescent="0.15">
      <c r="D14" s="34" t="s">
        <v>329</v>
      </c>
      <c r="F14" s="379">
        <v>0.01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</row>
    <row r="15" spans="4:21" ht="11.25" customHeight="1" outlineLevel="3" x14ac:dyDescent="0.15"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</row>
    <row r="16" spans="4:21" ht="11.25" customHeight="1" outlineLevel="3" x14ac:dyDescent="0.15">
      <c r="D16" s="17" t="s">
        <v>5</v>
      </c>
      <c r="F16" s="376">
        <v>150</v>
      </c>
      <c r="G16" s="377">
        <v>125</v>
      </c>
      <c r="H16" s="380">
        <f>G16</f>
        <v>125</v>
      </c>
      <c r="I16" s="32">
        <f>F16</f>
        <v>150</v>
      </c>
      <c r="J16" s="32">
        <f t="shared" ref="J16:P19" si="2">I16*(1+$F$20)</f>
        <v>154.5</v>
      </c>
      <c r="K16" s="32">
        <f t="shared" si="2"/>
        <v>159.13499999999999</v>
      </c>
      <c r="L16" s="32">
        <f t="shared" si="2"/>
        <v>163.90905000000001</v>
      </c>
      <c r="M16" s="32">
        <f t="shared" si="2"/>
        <v>168.82632150000001</v>
      </c>
      <c r="N16" s="32">
        <f t="shared" si="2"/>
        <v>173.891111145</v>
      </c>
      <c r="O16" s="32">
        <f t="shared" si="2"/>
        <v>179.10784447935001</v>
      </c>
      <c r="P16" s="32">
        <f t="shared" si="2"/>
        <v>184.4810798137305</v>
      </c>
      <c r="Q16" s="33"/>
      <c r="R16" s="378"/>
      <c r="S16" s="378"/>
    </row>
    <row r="17" spans="4:21" ht="11.25" customHeight="1" outlineLevel="3" x14ac:dyDescent="0.15">
      <c r="D17" s="17" t="s">
        <v>6</v>
      </c>
      <c r="F17" s="376">
        <v>150</v>
      </c>
      <c r="G17" s="381">
        <v>0</v>
      </c>
      <c r="H17" s="380">
        <v>0</v>
      </c>
      <c r="I17" s="382">
        <f>F17</f>
        <v>150</v>
      </c>
      <c r="J17" s="32">
        <f t="shared" si="2"/>
        <v>154.5</v>
      </c>
      <c r="K17" s="32">
        <f t="shared" si="2"/>
        <v>159.13499999999999</v>
      </c>
      <c r="L17" s="32">
        <f t="shared" si="2"/>
        <v>163.90905000000001</v>
      </c>
      <c r="M17" s="32">
        <f t="shared" si="2"/>
        <v>168.82632150000001</v>
      </c>
      <c r="N17" s="32">
        <f t="shared" si="2"/>
        <v>173.891111145</v>
      </c>
      <c r="O17" s="32">
        <f t="shared" si="2"/>
        <v>179.10784447935001</v>
      </c>
      <c r="P17" s="32">
        <f t="shared" si="2"/>
        <v>184.4810798137305</v>
      </c>
      <c r="Q17" s="33"/>
      <c r="R17" s="383" t="s">
        <v>330</v>
      </c>
      <c r="S17" s="33"/>
    </row>
    <row r="18" spans="4:21" ht="11.25" customHeight="1" outlineLevel="3" x14ac:dyDescent="0.15">
      <c r="D18" s="17" t="s">
        <v>7</v>
      </c>
      <c r="F18" s="376">
        <v>125</v>
      </c>
      <c r="G18" s="381">
        <v>0</v>
      </c>
      <c r="H18" s="380">
        <v>0</v>
      </c>
      <c r="I18" s="382">
        <v>125</v>
      </c>
      <c r="J18" s="32">
        <f t="shared" si="2"/>
        <v>128.75</v>
      </c>
      <c r="K18" s="32">
        <f t="shared" si="2"/>
        <v>132.61250000000001</v>
      </c>
      <c r="L18" s="32">
        <f t="shared" si="2"/>
        <v>136.59087500000001</v>
      </c>
      <c r="M18" s="32">
        <f t="shared" si="2"/>
        <v>140.68860125</v>
      </c>
      <c r="N18" s="32">
        <f t="shared" si="2"/>
        <v>144.90925928750002</v>
      </c>
      <c r="O18" s="32">
        <f t="shared" si="2"/>
        <v>149.25653706612502</v>
      </c>
      <c r="P18" s="32">
        <f t="shared" si="2"/>
        <v>153.73423317810878</v>
      </c>
      <c r="Q18" s="33"/>
      <c r="R18" s="378"/>
      <c r="S18" s="33"/>
    </row>
    <row r="19" spans="4:21" ht="11.25" customHeight="1" outlineLevel="3" x14ac:dyDescent="0.15">
      <c r="D19" s="17" t="s">
        <v>8</v>
      </c>
      <c r="F19" s="376">
        <v>150</v>
      </c>
      <c r="G19" s="381">
        <v>0</v>
      </c>
      <c r="H19" s="380">
        <v>0</v>
      </c>
      <c r="I19" s="382">
        <f>F19</f>
        <v>150</v>
      </c>
      <c r="J19" s="32">
        <f t="shared" si="2"/>
        <v>154.5</v>
      </c>
      <c r="K19" s="32">
        <f t="shared" si="2"/>
        <v>159.13499999999999</v>
      </c>
      <c r="L19" s="32">
        <f t="shared" si="2"/>
        <v>163.90905000000001</v>
      </c>
      <c r="M19" s="32">
        <f t="shared" si="2"/>
        <v>168.82632150000001</v>
      </c>
      <c r="N19" s="32">
        <f t="shared" si="2"/>
        <v>173.891111145</v>
      </c>
      <c r="O19" s="32">
        <f t="shared" si="2"/>
        <v>179.10784447935001</v>
      </c>
      <c r="P19" s="32">
        <f t="shared" si="2"/>
        <v>184.4810798137305</v>
      </c>
      <c r="Q19" s="33"/>
      <c r="R19" s="378"/>
      <c r="S19" s="33"/>
    </row>
    <row r="20" spans="4:21" ht="11.25" customHeight="1" outlineLevel="3" x14ac:dyDescent="0.15">
      <c r="D20" s="34" t="s">
        <v>329</v>
      </c>
      <c r="F20" s="379">
        <v>0.03</v>
      </c>
      <c r="G20" s="382"/>
      <c r="H20" s="382"/>
      <c r="I20" s="382"/>
      <c r="J20" s="32"/>
      <c r="K20" s="32"/>
      <c r="L20" s="32"/>
      <c r="M20" s="32"/>
      <c r="N20" s="32"/>
      <c r="O20" s="32"/>
      <c r="P20" s="32"/>
      <c r="Q20" s="33"/>
      <c r="R20" s="33"/>
      <c r="S20" s="33"/>
    </row>
    <row r="21" spans="4:21" ht="11.25" customHeight="1" outlineLevel="3" x14ac:dyDescent="0.15">
      <c r="D21" s="34"/>
      <c r="G21" s="382"/>
      <c r="H21" s="382"/>
      <c r="I21" s="382"/>
      <c r="J21" s="32"/>
      <c r="K21" s="32"/>
      <c r="L21" s="32"/>
      <c r="M21" s="32"/>
      <c r="N21" s="32"/>
      <c r="O21" s="32"/>
      <c r="P21" s="32"/>
      <c r="Q21" s="33"/>
      <c r="R21" s="33"/>
      <c r="S21" s="33"/>
    </row>
    <row r="22" spans="4:21" ht="11.25" customHeight="1" outlineLevel="3" x14ac:dyDescent="0.15">
      <c r="D22" s="384" t="s">
        <v>197</v>
      </c>
      <c r="G22" s="382">
        <v>1712.3975999999998</v>
      </c>
      <c r="H22" s="382">
        <v>4938.2010719999998</v>
      </c>
      <c r="I22" s="382">
        <v>17239.760276399997</v>
      </c>
      <c r="J22" s="32">
        <v>43610.412539533201</v>
      </c>
      <c r="K22" s="32">
        <v>88275.316153276624</v>
      </c>
      <c r="L22" s="32">
        <v>180697.80249566457</v>
      </c>
      <c r="M22" s="32">
        <v>305649.10783064092</v>
      </c>
      <c r="N22" s="32">
        <f>N37</f>
        <v>435846.22828851204</v>
      </c>
      <c r="O22" s="32">
        <f>O37</f>
        <v>557706.3599526101</v>
      </c>
      <c r="P22" s="32">
        <f>P37</f>
        <v>694311.59607662144</v>
      </c>
      <c r="Q22" s="33"/>
      <c r="R22" s="33"/>
      <c r="S22" s="33"/>
    </row>
    <row r="23" spans="4:21" ht="11.25" customHeight="1" outlineLevel="4" x14ac:dyDescent="0.15">
      <c r="D23" s="384"/>
      <c r="G23" s="382"/>
      <c r="H23" s="382"/>
      <c r="I23" s="382"/>
      <c r="J23" s="32"/>
      <c r="K23" s="32"/>
      <c r="L23" s="32"/>
      <c r="M23" s="32"/>
      <c r="N23" s="32"/>
      <c r="O23" s="32"/>
      <c r="P23" s="32"/>
      <c r="Q23" s="33"/>
      <c r="R23" s="33"/>
      <c r="S23" s="33"/>
    </row>
    <row r="24" spans="4:21" ht="11.25" customHeight="1" outlineLevel="4" x14ac:dyDescent="0.15">
      <c r="D24" s="384" t="s">
        <v>9</v>
      </c>
      <c r="G24" s="382">
        <v>0</v>
      </c>
      <c r="H24" s="382">
        <v>0</v>
      </c>
      <c r="I24" s="382">
        <f t="shared" ref="I24:P24" si="3">I22*$G$25</f>
        <v>172.39760276399997</v>
      </c>
      <c r="J24" s="32">
        <f t="shared" si="3"/>
        <v>436.10412539533201</v>
      </c>
      <c r="K24" s="32">
        <f t="shared" si="3"/>
        <v>882.75316153276628</v>
      </c>
      <c r="L24" s="32">
        <f t="shared" si="3"/>
        <v>1806.9780249566456</v>
      </c>
      <c r="M24" s="32">
        <f t="shared" si="3"/>
        <v>3056.4910783064092</v>
      </c>
      <c r="N24" s="32">
        <f t="shared" si="3"/>
        <v>4358.4622828851207</v>
      </c>
      <c r="O24" s="32">
        <f t="shared" si="3"/>
        <v>5577.0635995261009</v>
      </c>
      <c r="P24" s="32">
        <f t="shared" si="3"/>
        <v>6943.1159607662148</v>
      </c>
      <c r="Q24" s="33"/>
      <c r="R24" s="378"/>
      <c r="S24" s="378"/>
    </row>
    <row r="25" spans="4:21" ht="11.25" customHeight="1" outlineLevel="4" x14ac:dyDescent="0.15">
      <c r="D25" s="385" t="s">
        <v>331</v>
      </c>
      <c r="E25" s="295"/>
      <c r="G25" s="386">
        <v>0.01</v>
      </c>
      <c r="H25" s="387"/>
      <c r="I25" s="387"/>
      <c r="J25" s="35"/>
      <c r="K25" s="35"/>
      <c r="L25" s="35"/>
      <c r="M25" s="35"/>
      <c r="N25" s="35"/>
      <c r="O25" s="35"/>
      <c r="P25" s="35"/>
      <c r="Q25" s="388"/>
      <c r="R25" s="388"/>
      <c r="S25" s="388"/>
    </row>
    <row r="26" spans="4:21" ht="11.25" customHeight="1" outlineLevel="3" x14ac:dyDescent="0.15">
      <c r="D26" s="34"/>
      <c r="G26" s="382"/>
      <c r="H26" s="382"/>
      <c r="I26" s="382"/>
      <c r="J26" s="32"/>
      <c r="K26" s="32"/>
      <c r="L26" s="32"/>
      <c r="M26" s="32"/>
      <c r="N26" s="32"/>
      <c r="O26" s="32"/>
      <c r="P26" s="32"/>
      <c r="Q26" s="33"/>
      <c r="R26" s="33"/>
      <c r="S26" s="33"/>
    </row>
    <row r="27" spans="4:21" ht="11.25" customHeight="1" outlineLevel="3" x14ac:dyDescent="0.15">
      <c r="D27" s="384" t="s">
        <v>10</v>
      </c>
      <c r="F27" s="389">
        <v>300</v>
      </c>
      <c r="G27" s="390">
        <v>0</v>
      </c>
      <c r="H27" s="391">
        <v>60</v>
      </c>
      <c r="I27" s="382">
        <f>F27</f>
        <v>300</v>
      </c>
      <c r="J27" s="32">
        <f t="shared" ref="J27:M27" si="4">I27</f>
        <v>300</v>
      </c>
      <c r="K27" s="32">
        <f t="shared" si="4"/>
        <v>300</v>
      </c>
      <c r="L27" s="32">
        <f t="shared" si="4"/>
        <v>300</v>
      </c>
      <c r="M27" s="32">
        <f t="shared" si="4"/>
        <v>300</v>
      </c>
      <c r="N27" s="32">
        <v>400</v>
      </c>
      <c r="O27" s="32">
        <v>400</v>
      </c>
      <c r="P27" s="32">
        <v>400</v>
      </c>
      <c r="Q27" s="33"/>
      <c r="R27" s="202" t="s">
        <v>332</v>
      </c>
      <c r="S27" s="378"/>
    </row>
    <row r="28" spans="4:21" ht="11.25" customHeight="1" outlineLevel="3" x14ac:dyDescent="0.15">
      <c r="D28" s="34" t="s">
        <v>333</v>
      </c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3"/>
      <c r="R28" s="33"/>
      <c r="S28" s="33"/>
    </row>
    <row r="29" spans="4:21" s="1" customFormat="1" ht="18.75" customHeight="1" outlineLevel="3" x14ac:dyDescent="0.15">
      <c r="D29" s="1" t="s">
        <v>334</v>
      </c>
      <c r="G29" s="392">
        <f>(SUM(G13:G19)+G27)/G22</f>
        <v>0.14599413126951361</v>
      </c>
      <c r="H29" s="392">
        <f t="shared" ref="H29:P29" si="5">(SUM(H13:H19)+H27)/H22</f>
        <v>6.7838468931424672E-2</v>
      </c>
      <c r="I29" s="392">
        <f t="shared" si="5"/>
        <v>6.2355855462305841E-2</v>
      </c>
      <c r="J29" s="392">
        <f t="shared" si="5"/>
        <v>2.5091484723013185E-2</v>
      </c>
      <c r="K29" s="392">
        <f t="shared" si="5"/>
        <v>1.2620034099517057E-2</v>
      </c>
      <c r="L29" s="392">
        <f t="shared" si="5"/>
        <v>6.2777643631123665E-3</v>
      </c>
      <c r="M29" s="392">
        <f t="shared" si="5"/>
        <v>3.7797864876809696E-3</v>
      </c>
      <c r="N29" s="392">
        <f t="shared" si="5"/>
        <v>2.9294382281480286E-3</v>
      </c>
      <c r="O29" s="392">
        <f t="shared" si="5"/>
        <v>2.3289748761960417E-3</v>
      </c>
      <c r="P29" s="392">
        <f t="shared" si="5"/>
        <v>1.9034746798249577E-3</v>
      </c>
      <c r="Q29" s="36"/>
      <c r="R29" s="36"/>
      <c r="S29" s="36"/>
      <c r="T29" s="2"/>
      <c r="U29" s="2"/>
    </row>
    <row r="30" spans="4:21" s="1" customFormat="1" ht="18.75" customHeight="1" outlineLevel="3" x14ac:dyDescent="0.15"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6"/>
      <c r="R30" s="36"/>
      <c r="S30" s="36"/>
      <c r="T30" s="2"/>
      <c r="U30" s="2"/>
    </row>
    <row r="31" spans="4:21" s="1" customFormat="1" ht="29.25" customHeight="1" x14ac:dyDescent="0.2">
      <c r="D31" s="37" t="s">
        <v>11</v>
      </c>
      <c r="E31" s="5"/>
      <c r="F31" s="5"/>
      <c r="G31" s="5"/>
      <c r="H31" s="19" t="s">
        <v>1</v>
      </c>
      <c r="I31" s="5"/>
      <c r="J31" s="5"/>
      <c r="K31" s="5"/>
      <c r="L31" s="5"/>
      <c r="M31" s="5"/>
      <c r="N31" s="5"/>
      <c r="O31" s="5"/>
      <c r="P31" s="5"/>
      <c r="Q31" s="38"/>
      <c r="R31" s="8"/>
      <c r="S31" s="8"/>
      <c r="T31" s="8"/>
      <c r="U31" s="8"/>
    </row>
    <row r="32" spans="4:21" x14ac:dyDescent="0.15">
      <c r="F32" s="39"/>
      <c r="G32" s="21" t="s">
        <v>2</v>
      </c>
      <c r="H32" s="22"/>
      <c r="I32" s="22"/>
      <c r="J32" s="22"/>
      <c r="K32" s="22"/>
      <c r="L32" s="22"/>
      <c r="M32" s="22"/>
      <c r="N32" s="22"/>
      <c r="O32" s="22"/>
      <c r="P32" s="22"/>
      <c r="Q32" s="23"/>
      <c r="R32" s="23"/>
      <c r="S32" s="23"/>
    </row>
    <row r="33" spans="4:20" ht="11.25" customHeight="1" x14ac:dyDescent="0.15">
      <c r="D33" s="40" t="s">
        <v>12</v>
      </c>
      <c r="F33" s="24">
        <f>G33-1</f>
        <v>0</v>
      </c>
      <c r="G33" s="41">
        <f t="shared" ref="G33:M33" si="6">G10</f>
        <v>1</v>
      </c>
      <c r="H33" s="41">
        <f t="shared" si="6"/>
        <v>2</v>
      </c>
      <c r="I33" s="41">
        <f t="shared" si="6"/>
        <v>3</v>
      </c>
      <c r="J33" s="41">
        <f t="shared" si="6"/>
        <v>4</v>
      </c>
      <c r="K33" s="41">
        <f t="shared" si="6"/>
        <v>5</v>
      </c>
      <c r="L33" s="41">
        <f t="shared" si="6"/>
        <v>6</v>
      </c>
      <c r="M33" s="41">
        <f t="shared" si="6"/>
        <v>7</v>
      </c>
      <c r="N33" s="41">
        <f>Rollout!O10</f>
        <v>8</v>
      </c>
      <c r="O33" s="41">
        <f>Rollout!P10</f>
        <v>9</v>
      </c>
      <c r="P33" s="41">
        <f>Rollout!Q10</f>
        <v>10</v>
      </c>
      <c r="Q33" s="42"/>
      <c r="R33" s="26" t="s">
        <v>3</v>
      </c>
      <c r="S33" s="27"/>
      <c r="T33" s="28"/>
    </row>
    <row r="34" spans="4:20" ht="11.25" customHeight="1" x14ac:dyDescent="0.15">
      <c r="D34" s="40"/>
      <c r="F34" s="43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</row>
    <row r="35" spans="4:20" ht="11.25" customHeight="1" x14ac:dyDescent="0.15">
      <c r="D35" s="17" t="s">
        <v>13</v>
      </c>
      <c r="F35" s="43"/>
      <c r="G35" s="32">
        <f>G74*G37</f>
        <v>1059.3216</v>
      </c>
      <c r="H35" s="32">
        <f t="shared" ref="H35:M35" si="7">H74*H37</f>
        <v>2695.9734719999997</v>
      </c>
      <c r="I35" s="32">
        <f t="shared" si="7"/>
        <v>7273.0041713999999</v>
      </c>
      <c r="J35" s="32">
        <f t="shared" si="7"/>
        <v>16690.4928325332</v>
      </c>
      <c r="K35" s="32">
        <f t="shared" si="7"/>
        <v>33197.498390514127</v>
      </c>
      <c r="L35" s="32">
        <f t="shared" si="7"/>
        <v>58394.74284338102</v>
      </c>
      <c r="M35" s="32">
        <f t="shared" si="7"/>
        <v>84353.941007184287</v>
      </c>
      <c r="N35" s="32">
        <f>Rollout!$F$16*Rollout!O13+Rollout!$F$17*Rollout!N13+Rollout!$F$18*Rollout!M13+Rollout!$F$19*Rollout!L13+Rollout!$F$20*Rollout!K13+Rollout!$F$21*Rollout!J13+Rollout!$F$22*Rollout!I13</f>
        <v>107041.8175676274</v>
      </c>
      <c r="O35" s="32">
        <f>Rollout!$F$16*Rollout!P13+Rollout!$F$17*Rollout!O13+Rollout!$F$18*Rollout!N13+Rollout!$F$19*Rollout!M13+Rollout!$F$20*Rollout!L13+Rollout!$F$21*Rollout!K13+Rollout!$F$22*Rollout!J13</f>
        <v>126398.2681501429</v>
      </c>
      <c r="P35" s="32">
        <f>Rollout!$F$16*Rollout!Q13+Rollout!$F$17*Rollout!P13+Rollout!$F$18*Rollout!O13+Rollout!$F$19*Rollout!N13+Rollout!$F$20*Rollout!M13+Rollout!$F$21*Rollout!L13+Rollout!$F$22*Rollout!K13</f>
        <v>142380.11199094224</v>
      </c>
      <c r="Q35" s="29"/>
      <c r="R35" s="29"/>
      <c r="S35" s="29"/>
    </row>
    <row r="36" spans="4:20" ht="11.25" customHeight="1" x14ac:dyDescent="0.15">
      <c r="D36" s="17" t="s">
        <v>14</v>
      </c>
      <c r="F36" s="43"/>
      <c r="G36" s="44">
        <f>G37-G35</f>
        <v>653.07599999999979</v>
      </c>
      <c r="H36" s="44">
        <f t="shared" ref="H36:M36" si="8">H37-H35</f>
        <v>2242.2276000000002</v>
      </c>
      <c r="I36" s="44">
        <f t="shared" si="8"/>
        <v>9966.7561049999968</v>
      </c>
      <c r="J36" s="44">
        <f t="shared" si="8"/>
        <v>26919.919707000001</v>
      </c>
      <c r="K36" s="44">
        <f t="shared" si="8"/>
        <v>55077.817762762497</v>
      </c>
      <c r="L36" s="44">
        <f t="shared" si="8"/>
        <v>122303.05965228355</v>
      </c>
      <c r="M36" s="44">
        <f t="shared" si="8"/>
        <v>221295.16682345665</v>
      </c>
      <c r="N36" s="44">
        <f>Rollout!$E$16*Rollout!O12+Rollout!$E$18*Rollout!M12+Rollout!$E$19*Rollout!L12+Rollout!$E$20*Rollout!K12</f>
        <v>328804.41072088463</v>
      </c>
      <c r="O36" s="44">
        <f>Rollout!$E$16*Rollout!P12+Rollout!$E$18*Rollout!N12+Rollout!$E$19*Rollout!M12+Rollout!$E$20*Rollout!L12</f>
        <v>431308.09180246713</v>
      </c>
      <c r="P36" s="44">
        <f>Rollout!$E$16*Rollout!Q12+Rollout!$E$18*Rollout!O12+Rollout!$E$19*Rollout!N12+Rollout!$E$20*Rollout!M12</f>
        <v>551931.48408567917</v>
      </c>
      <c r="Q36" s="29"/>
      <c r="R36" s="29"/>
      <c r="S36" s="29"/>
    </row>
    <row r="37" spans="4:20" ht="11.25" customHeight="1" x14ac:dyDescent="0.15">
      <c r="D37" s="40" t="s">
        <v>15</v>
      </c>
      <c r="F37" s="43"/>
      <c r="G37" s="32">
        <v>1712.3975999999998</v>
      </c>
      <c r="H37" s="32">
        <v>4938.2010719999998</v>
      </c>
      <c r="I37" s="32">
        <v>17239.760276399997</v>
      </c>
      <c r="J37" s="32">
        <v>43610.412539533201</v>
      </c>
      <c r="K37" s="32">
        <v>88275.316153276624</v>
      </c>
      <c r="L37" s="32">
        <v>180697.80249566457</v>
      </c>
      <c r="M37" s="32">
        <v>305649.10783064092</v>
      </c>
      <c r="N37" s="32">
        <f>+Rollout!O26</f>
        <v>435846.22828851204</v>
      </c>
      <c r="O37" s="32">
        <f>+Rollout!P26</f>
        <v>557706.3599526101</v>
      </c>
      <c r="P37" s="32">
        <f>+Rollout!Q26</f>
        <v>694311.59607662144</v>
      </c>
      <c r="Q37" s="33"/>
      <c r="R37" s="33" t="s">
        <v>16</v>
      </c>
      <c r="S37" s="45">
        <f>(M37/H37)^(1/5)-1</f>
        <v>1.2820800406973727</v>
      </c>
    </row>
    <row r="38" spans="4:20" ht="11.25" customHeight="1" x14ac:dyDescent="0.15">
      <c r="D38" s="40"/>
      <c r="F38" s="43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3"/>
      <c r="R38" s="33"/>
      <c r="S38" s="33"/>
    </row>
    <row r="39" spans="4:20" ht="11.25" customHeight="1" x14ac:dyDescent="0.15">
      <c r="D39" s="40" t="s">
        <v>17</v>
      </c>
      <c r="F39" s="43"/>
      <c r="G39" s="32">
        <v>-441.67416235394154</v>
      </c>
      <c r="H39" s="32">
        <v>-359.93031852198271</v>
      </c>
      <c r="I39" s="32">
        <v>-174.22041597842269</v>
      </c>
      <c r="J39" s="32">
        <v>-1030.7539531301375</v>
      </c>
      <c r="K39" s="32">
        <v>851.26024587864686</v>
      </c>
      <c r="L39" s="32">
        <v>8376.3473321816036</v>
      </c>
      <c r="M39" s="32">
        <v>21258.789828354507</v>
      </c>
      <c r="N39" s="32">
        <f>Rollout!O41</f>
        <v>35487.383142401828</v>
      </c>
      <c r="O39" s="32">
        <f>Rollout!P41</f>
        <v>53200.944068048848</v>
      </c>
      <c r="P39" s="32">
        <f>Rollout!Q41</f>
        <v>68637.209725965004</v>
      </c>
      <c r="Q39" s="33"/>
      <c r="R39" s="33" t="s">
        <v>16</v>
      </c>
      <c r="S39" s="45">
        <f>(M39/-G39)^(1/6)-1</f>
        <v>0.90724326834252245</v>
      </c>
    </row>
    <row r="40" spans="4:20" ht="10" customHeight="1" x14ac:dyDescent="0.15">
      <c r="D40" s="34" t="s">
        <v>18</v>
      </c>
      <c r="F40" s="43"/>
      <c r="G40" s="46">
        <f>G39/G37</f>
        <v>-0.2579273425482152</v>
      </c>
      <c r="H40" s="46">
        <f t="shared" ref="H40:P40" si="9">H39/H37</f>
        <v>-7.2886930538899428E-2</v>
      </c>
      <c r="I40" s="46">
        <f t="shared" si="9"/>
        <v>-1.0105733095193791E-2</v>
      </c>
      <c r="J40" s="47">
        <f t="shared" si="9"/>
        <v>-2.3635501090381809E-2</v>
      </c>
      <c r="K40" s="47">
        <f t="shared" si="9"/>
        <v>9.6432421085931117E-3</v>
      </c>
      <c r="L40" s="47">
        <f t="shared" si="9"/>
        <v>4.635555727016976E-2</v>
      </c>
      <c r="M40" s="47">
        <f t="shared" si="9"/>
        <v>6.9552926161766934E-2</v>
      </c>
      <c r="N40" s="47">
        <f t="shared" si="9"/>
        <v>8.142179704469224E-2</v>
      </c>
      <c r="O40" s="47">
        <f t="shared" si="9"/>
        <v>9.5392392642912452E-2</v>
      </c>
      <c r="P40" s="47">
        <f t="shared" si="9"/>
        <v>9.8856493415660135E-2</v>
      </c>
      <c r="Q40" s="48"/>
      <c r="R40" s="48"/>
      <c r="S40" s="48"/>
    </row>
    <row r="41" spans="4:20" ht="10" customHeight="1" x14ac:dyDescent="0.15">
      <c r="D41" s="40"/>
      <c r="F41" s="43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3"/>
      <c r="R41" s="33"/>
      <c r="S41" s="33"/>
    </row>
    <row r="42" spans="4:20" ht="10" customHeight="1" outlineLevel="1" x14ac:dyDescent="0.15">
      <c r="D42" s="17" t="s">
        <v>19</v>
      </c>
      <c r="F42" s="49"/>
      <c r="Q42" s="39"/>
      <c r="R42" s="39"/>
      <c r="S42" s="39"/>
    </row>
    <row r="43" spans="4:20" ht="10" customHeight="1" outlineLevel="1" x14ac:dyDescent="0.15">
      <c r="D43" s="34" t="s">
        <v>4</v>
      </c>
      <c r="F43" s="49"/>
      <c r="G43" s="32">
        <f>G13</f>
        <v>125</v>
      </c>
      <c r="H43" s="32">
        <f t="shared" ref="H43:M43" si="10">H13</f>
        <v>150</v>
      </c>
      <c r="I43" s="32">
        <f t="shared" si="10"/>
        <v>200</v>
      </c>
      <c r="J43" s="32">
        <f t="shared" si="10"/>
        <v>202</v>
      </c>
      <c r="K43" s="32">
        <f t="shared" si="10"/>
        <v>204.02</v>
      </c>
      <c r="L43" s="32">
        <f t="shared" si="10"/>
        <v>206.06020000000001</v>
      </c>
      <c r="M43" s="32">
        <f t="shared" si="10"/>
        <v>208.120802</v>
      </c>
      <c r="N43" s="32">
        <f t="shared" ref="N43:O43" si="11">N13</f>
        <v>210.20201001999999</v>
      </c>
      <c r="O43" s="32">
        <f t="shared" si="11"/>
        <v>212.3040301202</v>
      </c>
      <c r="P43" s="32">
        <f t="shared" ref="P43" si="12">P13</f>
        <v>214.42707042140199</v>
      </c>
      <c r="Q43" s="33"/>
      <c r="R43" s="33"/>
      <c r="S43" s="33"/>
    </row>
    <row r="44" spans="4:20" ht="10" customHeight="1" outlineLevel="1" x14ac:dyDescent="0.15">
      <c r="D44" s="34" t="s">
        <v>5</v>
      </c>
      <c r="F44" s="49"/>
      <c r="G44" s="32">
        <f t="shared" ref="G44:M47" si="13">G16</f>
        <v>125</v>
      </c>
      <c r="H44" s="32">
        <f t="shared" si="13"/>
        <v>125</v>
      </c>
      <c r="I44" s="32">
        <f t="shared" si="13"/>
        <v>150</v>
      </c>
      <c r="J44" s="32">
        <f t="shared" si="13"/>
        <v>154.5</v>
      </c>
      <c r="K44" s="32">
        <f t="shared" si="13"/>
        <v>159.13499999999999</v>
      </c>
      <c r="L44" s="32">
        <f t="shared" si="13"/>
        <v>163.90905000000001</v>
      </c>
      <c r="M44" s="32">
        <f t="shared" si="13"/>
        <v>168.82632150000001</v>
      </c>
      <c r="N44" s="32">
        <f t="shared" ref="N44:O44" si="14">N16</f>
        <v>173.891111145</v>
      </c>
      <c r="O44" s="32">
        <f t="shared" si="14"/>
        <v>179.10784447935001</v>
      </c>
      <c r="P44" s="32">
        <f t="shared" ref="P44" si="15">P16</f>
        <v>184.4810798137305</v>
      </c>
      <c r="Q44" s="33"/>
      <c r="R44" s="33"/>
      <c r="S44" s="33"/>
    </row>
    <row r="45" spans="4:20" ht="10" customHeight="1" outlineLevel="1" x14ac:dyDescent="0.15">
      <c r="D45" s="34" t="s">
        <v>6</v>
      </c>
      <c r="F45" s="49"/>
      <c r="G45" s="32">
        <f t="shared" si="13"/>
        <v>0</v>
      </c>
      <c r="H45" s="32">
        <f t="shared" si="13"/>
        <v>0</v>
      </c>
      <c r="I45" s="32">
        <f t="shared" si="13"/>
        <v>150</v>
      </c>
      <c r="J45" s="32">
        <f t="shared" si="13"/>
        <v>154.5</v>
      </c>
      <c r="K45" s="32">
        <f t="shared" si="13"/>
        <v>159.13499999999999</v>
      </c>
      <c r="L45" s="32">
        <f t="shared" si="13"/>
        <v>163.90905000000001</v>
      </c>
      <c r="M45" s="32">
        <f t="shared" si="13"/>
        <v>168.82632150000001</v>
      </c>
      <c r="N45" s="32">
        <f t="shared" ref="N45:O45" si="16">N17</f>
        <v>173.891111145</v>
      </c>
      <c r="O45" s="32">
        <f t="shared" si="16"/>
        <v>179.10784447935001</v>
      </c>
      <c r="P45" s="32">
        <f t="shared" ref="P45" si="17">P17</f>
        <v>184.4810798137305</v>
      </c>
      <c r="Q45" s="33"/>
      <c r="R45" s="33"/>
      <c r="S45" s="33"/>
    </row>
    <row r="46" spans="4:20" ht="10" customHeight="1" outlineLevel="1" x14ac:dyDescent="0.15">
      <c r="D46" s="34" t="s">
        <v>7</v>
      </c>
      <c r="F46" s="49"/>
      <c r="G46" s="32">
        <f t="shared" si="13"/>
        <v>0</v>
      </c>
      <c r="H46" s="32">
        <f t="shared" si="13"/>
        <v>0</v>
      </c>
      <c r="I46" s="32">
        <f t="shared" si="13"/>
        <v>125</v>
      </c>
      <c r="J46" s="32">
        <f t="shared" si="13"/>
        <v>128.75</v>
      </c>
      <c r="K46" s="32">
        <f t="shared" si="13"/>
        <v>132.61250000000001</v>
      </c>
      <c r="L46" s="32">
        <f t="shared" si="13"/>
        <v>136.59087500000001</v>
      </c>
      <c r="M46" s="32">
        <f t="shared" si="13"/>
        <v>140.68860125</v>
      </c>
      <c r="N46" s="32">
        <f t="shared" ref="N46:O46" si="18">N18</f>
        <v>144.90925928750002</v>
      </c>
      <c r="O46" s="32">
        <f t="shared" si="18"/>
        <v>149.25653706612502</v>
      </c>
      <c r="P46" s="32">
        <f t="shared" ref="P46" si="19">P18</f>
        <v>153.73423317810878</v>
      </c>
      <c r="Q46" s="33"/>
      <c r="R46" s="33"/>
      <c r="S46" s="33"/>
    </row>
    <row r="47" spans="4:20" ht="10" customHeight="1" outlineLevel="1" x14ac:dyDescent="0.15">
      <c r="D47" s="34" t="s">
        <v>8</v>
      </c>
      <c r="F47" s="49"/>
      <c r="G47" s="32">
        <f t="shared" si="13"/>
        <v>0</v>
      </c>
      <c r="H47" s="32">
        <f t="shared" si="13"/>
        <v>0</v>
      </c>
      <c r="I47" s="32">
        <f t="shared" si="13"/>
        <v>150</v>
      </c>
      <c r="J47" s="32">
        <f t="shared" si="13"/>
        <v>154.5</v>
      </c>
      <c r="K47" s="32">
        <f t="shared" si="13"/>
        <v>159.13499999999999</v>
      </c>
      <c r="L47" s="32">
        <f t="shared" si="13"/>
        <v>163.90905000000001</v>
      </c>
      <c r="M47" s="32">
        <f t="shared" si="13"/>
        <v>168.82632150000001</v>
      </c>
      <c r="N47" s="32">
        <f t="shared" ref="N47:O47" si="20">N19</f>
        <v>173.891111145</v>
      </c>
      <c r="O47" s="32">
        <f t="shared" si="20"/>
        <v>179.10784447935001</v>
      </c>
      <c r="P47" s="32">
        <f t="shared" ref="P47" si="21">P19</f>
        <v>184.4810798137305</v>
      </c>
      <c r="Q47" s="33"/>
      <c r="R47" s="33"/>
      <c r="S47" s="33"/>
    </row>
    <row r="48" spans="4:20" ht="10" customHeight="1" outlineLevel="1" x14ac:dyDescent="0.15">
      <c r="D48" s="34" t="s">
        <v>20</v>
      </c>
      <c r="F48" s="50"/>
      <c r="G48" s="51">
        <f>Rollout!H56</f>
        <v>164.85191025641026</v>
      </c>
      <c r="H48" s="51">
        <f>Rollout!I56</f>
        <v>20.183910256410257</v>
      </c>
      <c r="I48" s="51">
        <f>Rollout!J56</f>
        <v>349.88773076923076</v>
      </c>
      <c r="J48" s="51">
        <f>Rollout!K56</f>
        <v>699.77546153846151</v>
      </c>
      <c r="K48" s="51">
        <f>Rollout!L56</f>
        <v>904.99519230769238</v>
      </c>
      <c r="L48" s="51">
        <f>Rollout!M56</f>
        <v>242.20692307692309</v>
      </c>
      <c r="M48" s="51">
        <f>Rollout!N56</f>
        <v>121.10346153846154</v>
      </c>
      <c r="N48" s="51">
        <f>Rollout!O56</f>
        <v>0</v>
      </c>
      <c r="O48" s="51">
        <f>Rollout!P56</f>
        <v>0</v>
      </c>
      <c r="P48" s="51">
        <f>Rollout!Q56</f>
        <v>0</v>
      </c>
      <c r="Q48" s="33"/>
      <c r="R48" s="33"/>
      <c r="S48" s="33"/>
    </row>
    <row r="49" spans="4:19" ht="10" customHeight="1" outlineLevel="1" x14ac:dyDescent="0.15">
      <c r="D49" s="34" t="s">
        <v>9</v>
      </c>
      <c r="F49" s="50"/>
      <c r="G49" s="32">
        <f>G24</f>
        <v>0</v>
      </c>
      <c r="H49" s="32">
        <f t="shared" ref="H49:M49" si="22">H24</f>
        <v>0</v>
      </c>
      <c r="I49" s="32">
        <f t="shared" si="22"/>
        <v>172.39760276399997</v>
      </c>
      <c r="J49" s="32">
        <f t="shared" si="22"/>
        <v>436.10412539533201</v>
      </c>
      <c r="K49" s="32">
        <f t="shared" si="22"/>
        <v>882.75316153276628</v>
      </c>
      <c r="L49" s="32">
        <f t="shared" si="22"/>
        <v>1806.9780249566456</v>
      </c>
      <c r="M49" s="32">
        <f t="shared" si="22"/>
        <v>3056.4910783064092</v>
      </c>
      <c r="N49" s="32">
        <f t="shared" ref="N49:P49" si="23">N24</f>
        <v>4358.4622828851207</v>
      </c>
      <c r="O49" s="32">
        <f t="shared" si="23"/>
        <v>5577.0635995261009</v>
      </c>
      <c r="P49" s="32">
        <f t="shared" si="23"/>
        <v>6943.1159607662148</v>
      </c>
      <c r="Q49" s="33"/>
      <c r="R49" s="33"/>
      <c r="S49" s="33"/>
    </row>
    <row r="50" spans="4:19" ht="10" customHeight="1" outlineLevel="1" x14ac:dyDescent="0.15">
      <c r="D50" s="34" t="s">
        <v>10</v>
      </c>
      <c r="F50" s="50"/>
      <c r="G50" s="52">
        <f>G27</f>
        <v>0</v>
      </c>
      <c r="H50" s="52">
        <f t="shared" ref="H50:M50" si="24">H27</f>
        <v>60</v>
      </c>
      <c r="I50" s="52">
        <f t="shared" si="24"/>
        <v>300</v>
      </c>
      <c r="J50" s="52">
        <f t="shared" si="24"/>
        <v>300</v>
      </c>
      <c r="K50" s="52">
        <f t="shared" si="24"/>
        <v>300</v>
      </c>
      <c r="L50" s="52">
        <f t="shared" si="24"/>
        <v>300</v>
      </c>
      <c r="M50" s="52">
        <f t="shared" si="24"/>
        <v>300</v>
      </c>
      <c r="N50" s="52">
        <f t="shared" ref="N50:P50" si="25">N27</f>
        <v>400</v>
      </c>
      <c r="O50" s="52">
        <f t="shared" si="25"/>
        <v>400</v>
      </c>
      <c r="P50" s="52">
        <f t="shared" si="25"/>
        <v>400</v>
      </c>
      <c r="Q50" s="33"/>
      <c r="R50" s="33"/>
      <c r="S50" s="33"/>
    </row>
    <row r="51" spans="4:19" ht="10" customHeight="1" collapsed="1" x14ac:dyDescent="0.15">
      <c r="D51" s="17" t="s">
        <v>21</v>
      </c>
      <c r="F51" s="50"/>
      <c r="G51" s="32">
        <f t="shared" ref="G51:P51" si="26">SUM(G43:G50)</f>
        <v>414.85191025641029</v>
      </c>
      <c r="H51" s="32">
        <f t="shared" si="26"/>
        <v>355.18391025641029</v>
      </c>
      <c r="I51" s="32">
        <f t="shared" si="26"/>
        <v>1597.2853335332306</v>
      </c>
      <c r="J51" s="32">
        <f t="shared" si="26"/>
        <v>2230.1295869337937</v>
      </c>
      <c r="K51" s="32">
        <f t="shared" si="26"/>
        <v>2901.7858538404585</v>
      </c>
      <c r="L51" s="32">
        <f t="shared" si="26"/>
        <v>3183.5631730335685</v>
      </c>
      <c r="M51" s="32">
        <f t="shared" si="26"/>
        <v>4332.8829075948706</v>
      </c>
      <c r="N51" s="32">
        <f t="shared" si="26"/>
        <v>5635.2468856276209</v>
      </c>
      <c r="O51" s="32">
        <f t="shared" si="26"/>
        <v>6875.9477001504756</v>
      </c>
      <c r="P51" s="32">
        <f t="shared" si="26"/>
        <v>8264.7205038069169</v>
      </c>
      <c r="Q51" s="33"/>
      <c r="R51" s="33"/>
      <c r="S51" s="33"/>
    </row>
    <row r="52" spans="4:19" ht="10" customHeight="1" x14ac:dyDescent="0.15">
      <c r="F52" s="50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3"/>
      <c r="R52" s="33"/>
      <c r="S52" s="33"/>
    </row>
    <row r="53" spans="4:19" ht="10" customHeight="1" x14ac:dyDescent="0.15">
      <c r="D53" s="17" t="s">
        <v>22</v>
      </c>
      <c r="F53" s="50"/>
      <c r="G53" s="32">
        <f>G39-G51</f>
        <v>-856.52607261035178</v>
      </c>
      <c r="H53" s="32">
        <f t="shared" ref="H53:P53" si="27">H39-H51</f>
        <v>-715.114228778393</v>
      </c>
      <c r="I53" s="32">
        <f t="shared" si="27"/>
        <v>-1771.5057495116534</v>
      </c>
      <c r="J53" s="32">
        <f t="shared" si="27"/>
        <v>-3260.8835400639309</v>
      </c>
      <c r="K53" s="32">
        <f t="shared" si="27"/>
        <v>-2050.5256079618116</v>
      </c>
      <c r="L53" s="32">
        <f t="shared" si="27"/>
        <v>5192.7841591480355</v>
      </c>
      <c r="M53" s="32">
        <f t="shared" si="27"/>
        <v>16925.906920759637</v>
      </c>
      <c r="N53" s="32">
        <f t="shared" si="27"/>
        <v>29852.136256774207</v>
      </c>
      <c r="O53" s="32">
        <f t="shared" si="27"/>
        <v>46324.996367898369</v>
      </c>
      <c r="P53" s="32">
        <f t="shared" si="27"/>
        <v>60372.489222158089</v>
      </c>
      <c r="Q53" s="33"/>
      <c r="R53" s="33" t="s">
        <v>16</v>
      </c>
      <c r="S53" s="45">
        <f>(M53/-G53)^(1/6)-1</f>
        <v>0.64425268661214807</v>
      </c>
    </row>
    <row r="54" spans="4:19" ht="10" customHeight="1" x14ac:dyDescent="0.15">
      <c r="D54" s="34" t="s">
        <v>18</v>
      </c>
      <c r="F54" s="50"/>
      <c r="G54" s="46">
        <f t="shared" ref="G54:P54" si="28">G53/G37</f>
        <v>-0.50019111952174655</v>
      </c>
      <c r="H54" s="47">
        <f t="shared" si="28"/>
        <v>-0.14481269967582905</v>
      </c>
      <c r="I54" s="47">
        <f t="shared" si="28"/>
        <v>-0.10275698276017901</v>
      </c>
      <c r="J54" s="47">
        <f t="shared" si="28"/>
        <v>-7.4773049603874139E-2</v>
      </c>
      <c r="K54" s="47">
        <f t="shared" si="28"/>
        <v>-2.3228754053980238E-2</v>
      </c>
      <c r="L54" s="47">
        <f t="shared" si="28"/>
        <v>2.8737395183721863E-2</v>
      </c>
      <c r="M54" s="47">
        <f t="shared" si="28"/>
        <v>5.5376922382964135E-2</v>
      </c>
      <c r="N54" s="47">
        <f t="shared" si="28"/>
        <v>6.849235881654421E-2</v>
      </c>
      <c r="O54" s="47">
        <f t="shared" si="28"/>
        <v>8.3063417766716413E-2</v>
      </c>
      <c r="P54" s="47">
        <f t="shared" si="28"/>
        <v>8.6953018735835177E-2</v>
      </c>
      <c r="Q54" s="48"/>
      <c r="R54" s="48"/>
      <c r="S54" s="48"/>
    </row>
    <row r="55" spans="4:19" ht="10" customHeight="1" x14ac:dyDescent="0.15">
      <c r="D55" s="34" t="s">
        <v>23</v>
      </c>
      <c r="F55" s="50"/>
      <c r="G55" s="32">
        <f>Rollout!H108</f>
        <v>24.734857142857141</v>
      </c>
      <c r="H55" s="32">
        <f>Rollout!I108</f>
        <v>58.037321183992489</v>
      </c>
      <c r="I55" s="32">
        <f>Rollout!J108</f>
        <v>174.8239327108588</v>
      </c>
      <c r="J55" s="32">
        <f>Rollout!K108</f>
        <v>437.42559384351233</v>
      </c>
      <c r="K55" s="32">
        <f>Rollout!L108</f>
        <v>905.09223829272582</v>
      </c>
      <c r="L55" s="32">
        <f>Rollout!M108</f>
        <v>1780.8246357696482</v>
      </c>
      <c r="M55" s="32">
        <f>Rollout!N108</f>
        <v>3016.1757503718418</v>
      </c>
      <c r="N55" s="32">
        <f>Rollout!O108</f>
        <v>4639.3465259347731</v>
      </c>
      <c r="O55" s="32">
        <f>Rollout!P108</f>
        <v>6765.2953509876934</v>
      </c>
      <c r="P55" s="32">
        <f>Rollout!Q108</f>
        <v>9489.4355437781032</v>
      </c>
      <c r="Q55" s="33"/>
      <c r="R55" s="33"/>
      <c r="S55" s="33"/>
    </row>
    <row r="56" spans="4:19" ht="10" customHeight="1" x14ac:dyDescent="0.15">
      <c r="D56" s="17" t="s">
        <v>24</v>
      </c>
      <c r="F56" s="50"/>
      <c r="G56" s="32">
        <f>G53-G55</f>
        <v>-881.26092975320887</v>
      </c>
      <c r="H56" s="32">
        <f t="shared" ref="H56:P56" si="29">H53-H55</f>
        <v>-773.1515499623855</v>
      </c>
      <c r="I56" s="32">
        <f t="shared" si="29"/>
        <v>-1946.3296822225122</v>
      </c>
      <c r="J56" s="32">
        <f t="shared" si="29"/>
        <v>-3698.3091339074431</v>
      </c>
      <c r="K56" s="32">
        <f t="shared" si="29"/>
        <v>-2955.6178462545377</v>
      </c>
      <c r="L56" s="32">
        <f t="shared" si="29"/>
        <v>3411.9595233783875</v>
      </c>
      <c r="M56" s="32">
        <f t="shared" si="29"/>
        <v>13909.731170387795</v>
      </c>
      <c r="N56" s="32">
        <f t="shared" si="29"/>
        <v>25212.789730839435</v>
      </c>
      <c r="O56" s="32">
        <f t="shared" si="29"/>
        <v>39559.70101691068</v>
      </c>
      <c r="P56" s="32">
        <f t="shared" si="29"/>
        <v>50883.053678379983</v>
      </c>
      <c r="Q56" s="33"/>
      <c r="R56" s="33" t="s">
        <v>16</v>
      </c>
      <c r="S56" s="45">
        <f>(M56/-G56)^(1/6)-1</f>
        <v>0.58380740824268762</v>
      </c>
    </row>
    <row r="57" spans="4:19" ht="10" customHeight="1" x14ac:dyDescent="0.15">
      <c r="D57" s="34" t="s">
        <v>18</v>
      </c>
      <c r="F57" s="50"/>
      <c r="G57" s="488">
        <f t="shared" ref="G57:P57" si="30">+G56/G37</f>
        <v>-0.5146356954443343</v>
      </c>
      <c r="H57" s="488">
        <f t="shared" si="30"/>
        <v>-0.15656542507882423</v>
      </c>
      <c r="I57" s="488">
        <f t="shared" si="30"/>
        <v>-0.11289772311317454</v>
      </c>
      <c r="J57" s="488">
        <f t="shared" si="30"/>
        <v>-8.4803351276599256E-2</v>
      </c>
      <c r="K57" s="488">
        <f t="shared" si="30"/>
        <v>-3.3481815472884383E-2</v>
      </c>
      <c r="L57" s="488">
        <f t="shared" si="30"/>
        <v>1.8882130696969875E-2</v>
      </c>
      <c r="M57" s="488">
        <f t="shared" si="30"/>
        <v>4.5508823072027832E-2</v>
      </c>
      <c r="N57" s="488">
        <f t="shared" si="30"/>
        <v>5.7847901609348377E-2</v>
      </c>
      <c r="O57" s="488">
        <f t="shared" si="30"/>
        <v>7.0932849000094209E-2</v>
      </c>
      <c r="P57" s="488">
        <f t="shared" si="30"/>
        <v>7.3285616956287644E-2</v>
      </c>
      <c r="Q57" s="33"/>
      <c r="R57" s="33"/>
      <c r="S57" s="45"/>
    </row>
    <row r="58" spans="4:19" ht="10" customHeight="1" x14ac:dyDescent="0.15">
      <c r="D58" s="34" t="s">
        <v>25</v>
      </c>
      <c r="E58" s="53">
        <v>0.35</v>
      </c>
      <c r="F58" s="50"/>
      <c r="G58" s="52">
        <f>IF(G56&lt;0,0,$E$58*G56)</f>
        <v>0</v>
      </c>
      <c r="H58" s="52">
        <f t="shared" ref="H58:P58" si="31">IF(H56&lt;0,0,$E$58*H56)</f>
        <v>0</v>
      </c>
      <c r="I58" s="52">
        <f t="shared" si="31"/>
        <v>0</v>
      </c>
      <c r="J58" s="52">
        <f t="shared" si="31"/>
        <v>0</v>
      </c>
      <c r="K58" s="52">
        <f t="shared" si="31"/>
        <v>0</v>
      </c>
      <c r="L58" s="52">
        <f t="shared" si="31"/>
        <v>1194.1858331824355</v>
      </c>
      <c r="M58" s="52">
        <f t="shared" si="31"/>
        <v>4868.4059096357278</v>
      </c>
      <c r="N58" s="52">
        <f t="shared" si="31"/>
        <v>8824.476405793801</v>
      </c>
      <c r="O58" s="52">
        <f t="shared" si="31"/>
        <v>13845.895355918738</v>
      </c>
      <c r="P58" s="52">
        <f t="shared" si="31"/>
        <v>17809.068787432992</v>
      </c>
      <c r="Q58" s="33"/>
      <c r="R58" s="33"/>
      <c r="S58" s="33"/>
    </row>
    <row r="59" spans="4:19" ht="11.25" customHeight="1" thickBot="1" x14ac:dyDescent="0.2">
      <c r="D59" s="17" t="s">
        <v>26</v>
      </c>
      <c r="F59" s="50"/>
      <c r="G59" s="54">
        <f>G56-G58</f>
        <v>-881.26092975320887</v>
      </c>
      <c r="H59" s="54">
        <f t="shared" ref="H59:P59" si="32">H56-H58</f>
        <v>-773.1515499623855</v>
      </c>
      <c r="I59" s="54">
        <f t="shared" si="32"/>
        <v>-1946.3296822225122</v>
      </c>
      <c r="J59" s="54">
        <f t="shared" si="32"/>
        <v>-3698.3091339074431</v>
      </c>
      <c r="K59" s="54">
        <f t="shared" si="32"/>
        <v>-2955.6178462545377</v>
      </c>
      <c r="L59" s="54">
        <f t="shared" si="32"/>
        <v>2217.773690195952</v>
      </c>
      <c r="M59" s="54">
        <f t="shared" si="32"/>
        <v>9041.3252607520662</v>
      </c>
      <c r="N59" s="54">
        <f t="shared" si="32"/>
        <v>16388.313325045634</v>
      </c>
      <c r="O59" s="54">
        <f t="shared" si="32"/>
        <v>25713.805660991944</v>
      </c>
      <c r="P59" s="54">
        <f t="shared" si="32"/>
        <v>33073.984890946987</v>
      </c>
      <c r="Q59" s="33"/>
      <c r="R59" s="33"/>
      <c r="S59" s="33"/>
    </row>
    <row r="60" spans="4:19" ht="11.25" customHeight="1" x14ac:dyDescent="0.15">
      <c r="F60" s="50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3"/>
      <c r="R60" s="33"/>
      <c r="S60" s="33"/>
    </row>
    <row r="61" spans="4:19" ht="11.25" customHeight="1" x14ac:dyDescent="0.15">
      <c r="D61" s="40" t="s">
        <v>27</v>
      </c>
      <c r="F61" s="50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3"/>
      <c r="R61" s="33"/>
      <c r="S61" s="33"/>
    </row>
    <row r="62" spans="4:19" ht="11.25" customHeight="1" x14ac:dyDescent="0.15">
      <c r="D62" s="34" t="s">
        <v>26</v>
      </c>
      <c r="F62" s="50"/>
      <c r="G62" s="32">
        <v>-881.26092975320887</v>
      </c>
      <c r="H62" s="32">
        <v>-773.1515499623855</v>
      </c>
      <c r="I62" s="32">
        <v>-1946.3296822225122</v>
      </c>
      <c r="J62" s="32">
        <v>-3698.3091339074431</v>
      </c>
      <c r="K62" s="32">
        <v>-2955.6178462545377</v>
      </c>
      <c r="L62" s="32">
        <v>2217.773690195952</v>
      </c>
      <c r="M62" s="32">
        <v>9041.3252607520662</v>
      </c>
      <c r="N62" s="32">
        <f>N59</f>
        <v>16388.313325045634</v>
      </c>
      <c r="O62" s="32">
        <f>O59</f>
        <v>25713.805660991944</v>
      </c>
      <c r="P62" s="32">
        <f>P59</f>
        <v>33073.984890946987</v>
      </c>
      <c r="Q62" s="33"/>
      <c r="R62" s="33"/>
      <c r="S62" s="33"/>
    </row>
    <row r="63" spans="4:19" ht="11.25" customHeight="1" x14ac:dyDescent="0.15">
      <c r="D63" s="34" t="s">
        <v>23</v>
      </c>
      <c r="F63" s="50"/>
      <c r="G63" s="32">
        <v>24.734857142857141</v>
      </c>
      <c r="H63" s="32">
        <v>58.037321183992489</v>
      </c>
      <c r="I63" s="32">
        <v>174.8239327108588</v>
      </c>
      <c r="J63" s="32">
        <v>437.42559384351233</v>
      </c>
      <c r="K63" s="32">
        <v>905.09223829272582</v>
      </c>
      <c r="L63" s="32">
        <v>1780.8246357696482</v>
      </c>
      <c r="M63" s="32">
        <v>3016.1757503718418</v>
      </c>
      <c r="N63" s="32">
        <f>+N55</f>
        <v>4639.3465259347731</v>
      </c>
      <c r="O63" s="32">
        <f>+O55</f>
        <v>6765.2953509876934</v>
      </c>
      <c r="P63" s="32">
        <f>+P55</f>
        <v>9489.4355437781032</v>
      </c>
      <c r="Q63" s="33"/>
      <c r="R63" s="33"/>
      <c r="S63" s="33"/>
    </row>
    <row r="64" spans="4:19" ht="11.25" customHeight="1" x14ac:dyDescent="0.15">
      <c r="D64" s="34" t="s">
        <v>28</v>
      </c>
      <c r="F64" s="50"/>
      <c r="G64" s="32">
        <v>193.39661787668325</v>
      </c>
      <c r="H64" s="32">
        <v>213.55798804327915</v>
      </c>
      <c r="I64" s="32">
        <v>783.19029338769803</v>
      </c>
      <c r="J64" s="32">
        <v>1688.8461128452059</v>
      </c>
      <c r="K64" s="32">
        <v>2886.5561258370362</v>
      </c>
      <c r="L64" s="32">
        <v>5132.5783265726241</v>
      </c>
      <c r="M64" s="32">
        <v>6615.6310015823992</v>
      </c>
      <c r="N64" s="32">
        <f>Rollout!O77</f>
        <v>8401.5681635289438</v>
      </c>
      <c r="O64" s="32">
        <f>Rollout!P77</f>
        <v>11155.458410978881</v>
      </c>
      <c r="P64" s="32">
        <f>Rollout!Q77</f>
        <v>14300.700963952066</v>
      </c>
      <c r="Q64" s="33"/>
      <c r="R64" s="33"/>
      <c r="S64" s="33"/>
    </row>
    <row r="65" spans="1:19" ht="11.25" customHeight="1" x14ac:dyDescent="0.15">
      <c r="D65" s="34" t="s">
        <v>29</v>
      </c>
      <c r="F65" s="50"/>
      <c r="G65" s="52">
        <v>-33.868347676308559</v>
      </c>
      <c r="H65" s="52">
        <v>-63.129554137176996</v>
      </c>
      <c r="I65" s="52">
        <v>-218.33981380476519</v>
      </c>
      <c r="J65" s="52">
        <v>-454.69184940957007</v>
      </c>
      <c r="K65" s="52">
        <v>-753.44993556970667</v>
      </c>
      <c r="L65" s="52">
        <v>-1517.3441240944112</v>
      </c>
      <c r="M65" s="52">
        <v>-1864.6623470100076</v>
      </c>
      <c r="N65" s="52">
        <f>Rollout!O169</f>
        <v>-1740.4946497599194</v>
      </c>
      <c r="O65" s="52">
        <f>Rollout!P169</f>
        <v>-1503.0004665753368</v>
      </c>
      <c r="P65" s="52">
        <f>Rollout!Q169</f>
        <v>-1807.9439023385785</v>
      </c>
      <c r="Q65" s="33"/>
      <c r="R65" s="33"/>
      <c r="S65" s="33"/>
    </row>
    <row r="66" spans="1:19" ht="11.25" customHeight="1" x14ac:dyDescent="0.15">
      <c r="D66" s="17" t="s">
        <v>27</v>
      </c>
      <c r="F66" s="50"/>
      <c r="G66" s="32">
        <f>G62+G63-G64-G65</f>
        <v>-1016.0543428107264</v>
      </c>
      <c r="H66" s="32">
        <f t="shared" ref="H66:P66" si="33">H62+H63-H64-H65</f>
        <v>-865.5426626844951</v>
      </c>
      <c r="I66" s="32">
        <f t="shared" si="33"/>
        <v>-2336.3562290945865</v>
      </c>
      <c r="J66" s="32">
        <f t="shared" si="33"/>
        <v>-4495.0378034995665</v>
      </c>
      <c r="K66" s="32">
        <f t="shared" si="33"/>
        <v>-4183.6317982291421</v>
      </c>
      <c r="L66" s="32">
        <f t="shared" si="33"/>
        <v>383.36412348738759</v>
      </c>
      <c r="M66" s="32">
        <f t="shared" si="33"/>
        <v>7306.5323565515164</v>
      </c>
      <c r="N66" s="32">
        <f t="shared" si="33"/>
        <v>14366.586337211382</v>
      </c>
      <c r="O66" s="32">
        <f t="shared" si="33"/>
        <v>22826.643067576093</v>
      </c>
      <c r="P66" s="32">
        <f t="shared" si="33"/>
        <v>30070.663373111605</v>
      </c>
      <c r="Q66" s="33"/>
      <c r="R66" s="33"/>
      <c r="S66" s="33"/>
    </row>
    <row r="67" spans="1:19" ht="11.25" customHeight="1" x14ac:dyDescent="0.15">
      <c r="D67" s="55" t="s">
        <v>30</v>
      </c>
      <c r="F67" s="32"/>
      <c r="G67" s="32">
        <f>SUM($F$66:G66)</f>
        <v>-1016.0543428107264</v>
      </c>
      <c r="H67" s="32">
        <f>SUM($F$66:H66)</f>
        <v>-1881.5970054952215</v>
      </c>
      <c r="I67" s="32">
        <f>SUM($F$66:I66)</f>
        <v>-4217.9532345898078</v>
      </c>
      <c r="J67" s="32">
        <f>SUM($F$66:J66)</f>
        <v>-8712.9910380893743</v>
      </c>
      <c r="K67" s="32">
        <f>SUM($F$66:K66)</f>
        <v>-12896.622836318516</v>
      </c>
      <c r="L67" s="32">
        <f>SUM($F$66:L66)</f>
        <v>-12513.258712831128</v>
      </c>
      <c r="M67" s="32">
        <f>SUM($F$66:M66)</f>
        <v>-5206.7263562796115</v>
      </c>
      <c r="N67" s="32">
        <f>SUM($F$66:N66)</f>
        <v>9159.8599809317711</v>
      </c>
      <c r="O67" s="32">
        <f>SUM($F$66:O66)</f>
        <v>31986.503048507864</v>
      </c>
      <c r="P67" s="32">
        <f>SUM($F$66:P66)</f>
        <v>62057.166421619469</v>
      </c>
      <c r="Q67" s="32"/>
      <c r="R67" s="32"/>
      <c r="S67" s="32"/>
    </row>
    <row r="68" spans="1:19" ht="11.25" customHeight="1" thickBot="1" x14ac:dyDescent="0.2">
      <c r="A68" s="56"/>
      <c r="B68" s="56"/>
      <c r="C68" s="56"/>
    </row>
    <row r="69" spans="1:19" ht="11.25" customHeight="1" x14ac:dyDescent="0.15">
      <c r="A69" s="56"/>
      <c r="B69" s="56"/>
      <c r="C69" s="56"/>
      <c r="D69" s="57" t="s">
        <v>31</v>
      </c>
      <c r="E69" s="58">
        <f>-MIN(G67:P67)</f>
        <v>12896.622836318516</v>
      </c>
    </row>
    <row r="70" spans="1:19" ht="14" thickBot="1" x14ac:dyDescent="0.2">
      <c r="A70" s="56"/>
      <c r="B70" s="56"/>
      <c r="C70" s="56"/>
      <c r="D70" s="59" t="s">
        <v>32</v>
      </c>
      <c r="E70" s="60">
        <f>-G66-H66/2</f>
        <v>1448.825674152974</v>
      </c>
    </row>
    <row r="71" spans="1:19" x14ac:dyDescent="0.15">
      <c r="A71" s="56"/>
      <c r="B71" s="56"/>
      <c r="C71" s="56"/>
      <c r="D71" s="39"/>
      <c r="E71" s="33"/>
    </row>
    <row r="72" spans="1:19" x14ac:dyDescent="0.15">
      <c r="A72" s="56"/>
      <c r="B72" s="56"/>
      <c r="C72" s="56"/>
      <c r="F72" s="22"/>
      <c r="G72" s="61" t="s">
        <v>33</v>
      </c>
      <c r="H72" s="22"/>
      <c r="I72" s="22"/>
      <c r="J72" s="22"/>
      <c r="K72" s="22"/>
      <c r="L72" s="22"/>
      <c r="M72" s="22"/>
      <c r="N72" s="22"/>
      <c r="O72" s="22"/>
      <c r="P72" s="22"/>
    </row>
    <row r="73" spans="1:19" x14ac:dyDescent="0.15">
      <c r="A73" s="56"/>
      <c r="B73" s="56"/>
      <c r="C73" s="56"/>
      <c r="F73" s="62"/>
      <c r="G73" s="41">
        <v>1</v>
      </c>
      <c r="H73" s="41">
        <f t="shared" ref="H73:P73" si="34">G73+1</f>
        <v>2</v>
      </c>
      <c r="I73" s="41">
        <f t="shared" si="34"/>
        <v>3</v>
      </c>
      <c r="J73" s="41">
        <f t="shared" si="34"/>
        <v>4</v>
      </c>
      <c r="K73" s="41">
        <f t="shared" si="34"/>
        <v>5</v>
      </c>
      <c r="L73" s="41">
        <f t="shared" si="34"/>
        <v>6</v>
      </c>
      <c r="M73" s="41">
        <f t="shared" si="34"/>
        <v>7</v>
      </c>
      <c r="N73" s="41">
        <f t="shared" si="34"/>
        <v>8</v>
      </c>
      <c r="O73" s="41">
        <f t="shared" si="34"/>
        <v>9</v>
      </c>
      <c r="P73" s="41">
        <f t="shared" si="34"/>
        <v>10</v>
      </c>
    </row>
    <row r="74" spans="1:19" ht="15" x14ac:dyDescent="0.2">
      <c r="A74" s="56"/>
      <c r="B74" s="56"/>
      <c r="C74" s="56"/>
      <c r="F74" s="63" t="s">
        <v>34</v>
      </c>
      <c r="G74" s="64">
        <v>0.61861894690812469</v>
      </c>
      <c r="H74" s="64">
        <v>0.54594242573199125</v>
      </c>
      <c r="I74" s="64">
        <v>0.42187385757075896</v>
      </c>
      <c r="J74" s="64">
        <v>0.38271806801651165</v>
      </c>
      <c r="K74" s="64">
        <v>0.37606773713358027</v>
      </c>
      <c r="L74" s="64">
        <v>0.32316244047728288</v>
      </c>
      <c r="M74" s="64">
        <v>0.27598294529923673</v>
      </c>
      <c r="N74" s="489">
        <f>+N35/N37</f>
        <v>0.24559537428592859</v>
      </c>
      <c r="O74" s="489">
        <f>+O35/O37</f>
        <v>0.22663945980620218</v>
      </c>
      <c r="P74" s="489">
        <f>+P35/P37</f>
        <v>0.2050665908440765</v>
      </c>
    </row>
    <row r="75" spans="1:19" ht="15" x14ac:dyDescent="0.2">
      <c r="A75" s="56"/>
      <c r="B75" s="56"/>
      <c r="C75" s="56"/>
      <c r="F75" s="63" t="s">
        <v>35</v>
      </c>
      <c r="G75" s="65">
        <v>1</v>
      </c>
      <c r="H75" s="65">
        <v>1</v>
      </c>
      <c r="I75" s="65">
        <v>1</v>
      </c>
      <c r="J75" s="65">
        <v>1</v>
      </c>
      <c r="K75" s="65">
        <v>1</v>
      </c>
      <c r="L75" s="66">
        <v>0.40098463587752431</v>
      </c>
      <c r="M75" s="66">
        <v>0.27803195484370558</v>
      </c>
      <c r="N75" s="66"/>
      <c r="O75" s="66"/>
      <c r="P75" s="66"/>
      <c r="R75" s="33" t="s">
        <v>36</v>
      </c>
    </row>
    <row r="76" spans="1:19" x14ac:dyDescent="0.15">
      <c r="A76" s="56"/>
      <c r="B76" s="56"/>
      <c r="C76" s="56"/>
      <c r="F76" s="67" t="s">
        <v>37</v>
      </c>
      <c r="G76" s="68">
        <v>3</v>
      </c>
      <c r="H76" s="68">
        <v>5</v>
      </c>
      <c r="I76" s="68">
        <v>11</v>
      </c>
      <c r="J76" s="68">
        <v>23</v>
      </c>
      <c r="K76" s="68">
        <v>41</v>
      </c>
      <c r="L76" s="68">
        <v>65</v>
      </c>
      <c r="M76" s="68">
        <v>77</v>
      </c>
      <c r="N76" s="68">
        <v>77</v>
      </c>
      <c r="O76" s="68">
        <v>77</v>
      </c>
      <c r="P76" s="68">
        <v>77</v>
      </c>
    </row>
    <row r="77" spans="1:19" x14ac:dyDescent="0.15">
      <c r="A77" s="56"/>
      <c r="B77" s="56"/>
      <c r="C77" s="56"/>
    </row>
    <row r="78" spans="1:19" x14ac:dyDescent="0.15">
      <c r="A78" s="56"/>
      <c r="B78" s="56"/>
      <c r="C78" s="56"/>
    </row>
    <row r="79" spans="1:19" x14ac:dyDescent="0.15">
      <c r="A79" s="56"/>
      <c r="B79" s="56"/>
      <c r="C79" s="56"/>
    </row>
    <row r="80" spans="1:19" x14ac:dyDescent="0.15">
      <c r="A80" s="56"/>
      <c r="B80" s="56"/>
      <c r="C80" s="56"/>
    </row>
    <row r="81" spans="1:18" x14ac:dyDescent="0.15">
      <c r="A81" s="56"/>
      <c r="B81" s="56"/>
      <c r="C81" s="56"/>
    </row>
    <row r="82" spans="1:18" x14ac:dyDescent="0.15">
      <c r="A82" s="56"/>
      <c r="B82" s="56"/>
      <c r="C82" s="56"/>
    </row>
    <row r="83" spans="1:18" x14ac:dyDescent="0.15">
      <c r="A83" s="56"/>
      <c r="B83" s="56"/>
      <c r="C83" s="56"/>
    </row>
    <row r="84" spans="1:18" x14ac:dyDescent="0.15">
      <c r="A84" s="56"/>
      <c r="B84" s="56"/>
      <c r="C84" s="56"/>
    </row>
    <row r="85" spans="1:18" x14ac:dyDescent="0.15">
      <c r="A85" s="56"/>
      <c r="B85" s="56"/>
      <c r="C85" s="56"/>
      <c r="G85" s="32"/>
      <c r="H85" s="32"/>
      <c r="I85" s="32"/>
      <c r="J85" s="32"/>
      <c r="K85" s="32"/>
      <c r="L85" s="32"/>
      <c r="M85" s="32"/>
      <c r="N85" s="32"/>
      <c r="O85" s="32"/>
      <c r="P85" s="32"/>
    </row>
    <row r="86" spans="1:18" x14ac:dyDescent="0.15">
      <c r="G86" s="444"/>
      <c r="H86" s="444"/>
      <c r="I86" s="444"/>
      <c r="J86" s="444"/>
      <c r="K86" s="444"/>
      <c r="L86" s="444"/>
      <c r="M86" s="446"/>
      <c r="N86" s="446"/>
      <c r="O86" s="446"/>
      <c r="P86" s="446"/>
      <c r="R86" s="445"/>
    </row>
    <row r="87" spans="1:18" x14ac:dyDescent="0.15">
      <c r="G87" s="32"/>
      <c r="H87" s="32"/>
      <c r="I87" s="32"/>
      <c r="J87" s="32"/>
      <c r="K87" s="32"/>
      <c r="L87" s="32"/>
      <c r="M87" s="32"/>
      <c r="N87" s="32"/>
      <c r="O87" s="32"/>
      <c r="P87" s="32"/>
    </row>
  </sheetData>
  <pageMargins left="0.75" right="0.75" top="1" bottom="1" header="0.5" footer="0.5"/>
  <pageSetup paperSize="9" scale="6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S79"/>
  <sheetViews>
    <sheetView tabSelected="1" workbookViewId="0">
      <selection activeCell="B9" sqref="B9:O28"/>
    </sheetView>
  </sheetViews>
  <sheetFormatPr baseColWidth="10" defaultRowHeight="16" x14ac:dyDescent="0.2"/>
  <cols>
    <col min="1" max="1" width="2.83203125" customWidth="1"/>
    <col min="2" max="2" width="22.5" customWidth="1"/>
    <col min="3" max="3" width="17.5" customWidth="1"/>
    <col min="4" max="4" width="12.5" customWidth="1"/>
    <col min="5" max="5" width="13.33203125" customWidth="1"/>
    <col min="12" max="12" width="10.83203125" customWidth="1"/>
  </cols>
  <sheetData>
    <row r="5" spans="2:19" x14ac:dyDescent="0.2">
      <c r="D5" s="490"/>
      <c r="E5" s="490"/>
      <c r="F5" s="490"/>
      <c r="G5" s="490"/>
      <c r="H5" s="490"/>
      <c r="I5" s="490"/>
      <c r="J5" s="490"/>
      <c r="K5" s="490"/>
      <c r="L5" s="490"/>
      <c r="M5" s="490"/>
      <c r="N5" s="490"/>
      <c r="O5" s="490"/>
    </row>
    <row r="6" spans="2:19" x14ac:dyDescent="0.2">
      <c r="D6" s="490"/>
      <c r="E6" s="490"/>
      <c r="F6" s="490"/>
      <c r="G6" s="490"/>
      <c r="H6" s="490"/>
      <c r="I6" s="490"/>
      <c r="J6" s="490"/>
      <c r="K6" s="490"/>
      <c r="L6" s="490"/>
      <c r="M6" s="490"/>
      <c r="N6" s="490"/>
      <c r="O6" s="490"/>
    </row>
    <row r="7" spans="2:19" x14ac:dyDescent="0.2">
      <c r="D7" s="490"/>
      <c r="E7" s="490"/>
      <c r="F7" s="490"/>
      <c r="G7" s="490"/>
      <c r="H7" s="490"/>
      <c r="I7" s="490"/>
      <c r="J7" s="490"/>
      <c r="K7" s="490"/>
      <c r="L7" s="490"/>
      <c r="M7" s="490"/>
      <c r="N7" s="490"/>
      <c r="O7" s="490"/>
    </row>
    <row r="8" spans="2:19" ht="17" thickBot="1" x14ac:dyDescent="0.25">
      <c r="D8" s="490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Q8" s="536"/>
      <c r="R8" s="536"/>
      <c r="S8" s="536"/>
    </row>
    <row r="9" spans="2:19" x14ac:dyDescent="0.2">
      <c r="B9" s="575" t="s">
        <v>463</v>
      </c>
      <c r="C9" s="576"/>
      <c r="D9" s="576"/>
      <c r="E9" s="576"/>
      <c r="F9" s="576"/>
      <c r="G9" s="576"/>
      <c r="H9" s="576"/>
      <c r="I9" s="576"/>
      <c r="J9" s="576"/>
      <c r="K9" s="576"/>
      <c r="L9" s="576"/>
      <c r="M9" s="576"/>
      <c r="N9" s="576"/>
      <c r="O9" s="577"/>
      <c r="Q9" s="536"/>
      <c r="R9" s="536"/>
      <c r="S9" s="536"/>
    </row>
    <row r="10" spans="2:19" x14ac:dyDescent="0.2">
      <c r="B10" s="530"/>
      <c r="C10" s="498" t="s">
        <v>430</v>
      </c>
      <c r="D10" s="499">
        <v>0</v>
      </c>
      <c r="E10" s="103">
        <v>1</v>
      </c>
      <c r="F10" s="103">
        <v>2</v>
      </c>
      <c r="G10" s="103">
        <v>3</v>
      </c>
      <c r="H10" s="103">
        <v>4</v>
      </c>
      <c r="I10" s="103">
        <v>5</v>
      </c>
      <c r="J10" s="103">
        <v>6</v>
      </c>
      <c r="K10" s="103">
        <v>7</v>
      </c>
      <c r="L10" s="435">
        <v>8</v>
      </c>
      <c r="M10" s="435">
        <v>9</v>
      </c>
      <c r="N10" s="435">
        <v>10</v>
      </c>
      <c r="O10" s="531" t="s">
        <v>429</v>
      </c>
      <c r="Q10" s="537"/>
      <c r="R10" s="537"/>
      <c r="S10" s="536"/>
    </row>
    <row r="11" spans="2:19" x14ac:dyDescent="0.2">
      <c r="B11" s="503"/>
      <c r="C11" s="497" t="s">
        <v>425</v>
      </c>
      <c r="D11" s="509"/>
      <c r="E11" s="532">
        <f>Rollup!G66</f>
        <v>-1016.0543428107264</v>
      </c>
      <c r="F11" s="532">
        <f>Rollup!H66</f>
        <v>-865.5426626844951</v>
      </c>
      <c r="G11" s="532">
        <f>Rollup!I66</f>
        <v>-2336.3562290945865</v>
      </c>
      <c r="H11" s="532">
        <f>Rollup!J66</f>
        <v>-4495.0378034995665</v>
      </c>
      <c r="I11" s="532">
        <f>Rollup!K66</f>
        <v>-4183.6317982291421</v>
      </c>
      <c r="J11" s="532">
        <f>Rollup!L66</f>
        <v>383.36412348738759</v>
      </c>
      <c r="K11" s="532">
        <f>Rollup!M66</f>
        <v>7306.5323565515164</v>
      </c>
      <c r="L11" s="532">
        <f>Rollup!N66</f>
        <v>14366.586337211382</v>
      </c>
      <c r="M11" s="532">
        <f>Rollup!O66</f>
        <v>22826.643067576093</v>
      </c>
      <c r="N11" s="532">
        <f>Rollup!P66</f>
        <v>30070.663373111605</v>
      </c>
      <c r="O11" s="533">
        <f>+N11*(1+D21)/(D20-D21)</f>
        <v>410965.73276585847</v>
      </c>
      <c r="Q11" s="535"/>
      <c r="R11" s="535"/>
      <c r="S11" s="536"/>
    </row>
    <row r="12" spans="2:19" ht="17" thickBot="1" x14ac:dyDescent="0.25">
      <c r="B12" s="503"/>
      <c r="C12" s="497" t="s">
        <v>427</v>
      </c>
      <c r="D12" s="509"/>
      <c r="E12" s="519">
        <f t="shared" ref="E12:N12" si="0">+E11/(1+$D$20)^E10</f>
        <v>-923.68576619156943</v>
      </c>
      <c r="F12" s="519">
        <f t="shared" si="0"/>
        <v>-715.32451461528512</v>
      </c>
      <c r="G12" s="519">
        <f t="shared" si="0"/>
        <v>-1755.3390150973598</v>
      </c>
      <c r="H12" s="519">
        <f t="shared" si="0"/>
        <v>-3070.1713021648557</v>
      </c>
      <c r="I12" s="519">
        <f t="shared" si="0"/>
        <v>-2597.7061913487905</v>
      </c>
      <c r="J12" s="519">
        <f t="shared" si="0"/>
        <v>216.39905342654723</v>
      </c>
      <c r="K12" s="519">
        <f t="shared" si="0"/>
        <v>3749.4063948797452</v>
      </c>
      <c r="L12" s="519">
        <f t="shared" si="0"/>
        <v>6702.1185547294281</v>
      </c>
      <c r="M12" s="519">
        <f t="shared" si="0"/>
        <v>9680.7249603978089</v>
      </c>
      <c r="N12" s="519">
        <f t="shared" si="0"/>
        <v>11593.542472197578</v>
      </c>
      <c r="O12" s="505">
        <f>+O11/(1+D20)^N10</f>
        <v>158445.08045336686</v>
      </c>
      <c r="Q12" s="536"/>
      <c r="R12" s="536"/>
      <c r="S12" s="536"/>
    </row>
    <row r="13" spans="2:19" ht="17" thickBot="1" x14ac:dyDescent="0.25">
      <c r="B13" s="491"/>
      <c r="C13" s="492" t="s">
        <v>428</v>
      </c>
      <c r="D13" s="493">
        <f>SUM(E12:O12)</f>
        <v>181325.04509958011</v>
      </c>
      <c r="E13" s="523"/>
      <c r="F13" s="523"/>
      <c r="G13" s="523"/>
      <c r="H13" s="523"/>
      <c r="I13" s="523"/>
      <c r="J13" s="523"/>
      <c r="K13" s="523"/>
      <c r="L13" s="523"/>
      <c r="M13" s="523"/>
      <c r="N13" s="534"/>
      <c r="O13" s="526"/>
      <c r="Q13" s="536"/>
      <c r="R13" s="536"/>
      <c r="S13" s="536"/>
    </row>
    <row r="14" spans="2:19" ht="17" thickBot="1" x14ac:dyDescent="0.25">
      <c r="B14" s="568"/>
      <c r="C14" s="568"/>
      <c r="D14" s="569"/>
      <c r="E14" s="568"/>
      <c r="F14" s="568"/>
      <c r="G14" s="568"/>
      <c r="H14" s="568"/>
      <c r="I14" s="568"/>
      <c r="J14" s="568"/>
      <c r="K14" s="568"/>
      <c r="L14" s="568"/>
      <c r="M14" s="568"/>
      <c r="N14" s="569"/>
      <c r="O14" s="568"/>
      <c r="Q14" s="536"/>
      <c r="R14" s="536"/>
      <c r="S14" s="536"/>
    </row>
    <row r="15" spans="2:19" x14ac:dyDescent="0.2">
      <c r="B15" s="575" t="s">
        <v>438</v>
      </c>
      <c r="C15" s="576"/>
      <c r="D15" s="577"/>
      <c r="E15" s="568"/>
      <c r="F15" s="568"/>
      <c r="G15" s="575" t="s">
        <v>462</v>
      </c>
      <c r="H15" s="576"/>
      <c r="I15" s="576"/>
      <c r="J15" s="576"/>
      <c r="K15" s="576"/>
      <c r="L15" s="576"/>
      <c r="M15" s="576"/>
      <c r="N15" s="576"/>
      <c r="O15" s="577"/>
      <c r="Q15" s="536"/>
      <c r="R15" s="536"/>
      <c r="S15" s="536"/>
    </row>
    <row r="16" spans="2:19" x14ac:dyDescent="0.2">
      <c r="B16" s="503"/>
      <c r="C16" s="497" t="s">
        <v>422</v>
      </c>
      <c r="D16" s="527">
        <v>0.03</v>
      </c>
      <c r="E16" s="568"/>
      <c r="F16" s="568"/>
      <c r="G16" s="503"/>
      <c r="H16" s="509"/>
      <c r="I16" s="509"/>
      <c r="J16" s="578" t="s">
        <v>440</v>
      </c>
      <c r="K16" s="579"/>
      <c r="L16" s="578" t="s">
        <v>441</v>
      </c>
      <c r="M16" s="579"/>
      <c r="N16" s="580" t="s">
        <v>442</v>
      </c>
      <c r="O16" s="581"/>
      <c r="Q16" s="536"/>
      <c r="R16" s="536"/>
      <c r="S16" s="536"/>
    </row>
    <row r="17" spans="2:15" x14ac:dyDescent="0.2">
      <c r="B17" s="503"/>
      <c r="C17" s="497" t="s">
        <v>423</v>
      </c>
      <c r="D17" s="504">
        <v>1</v>
      </c>
      <c r="E17" s="568"/>
      <c r="F17" s="568"/>
      <c r="G17" s="503"/>
      <c r="H17" s="509"/>
      <c r="I17" s="496" t="s">
        <v>439</v>
      </c>
      <c r="J17" s="582">
        <v>0.01</v>
      </c>
      <c r="K17" s="583"/>
      <c r="L17" s="582">
        <v>0.03</v>
      </c>
      <c r="M17" s="583"/>
      <c r="N17" s="582">
        <v>0.05</v>
      </c>
      <c r="O17" s="584"/>
    </row>
    <row r="18" spans="2:15" x14ac:dyDescent="0.2">
      <c r="B18" s="503"/>
      <c r="C18" s="497" t="s">
        <v>424</v>
      </c>
      <c r="D18" s="527">
        <v>0.02</v>
      </c>
      <c r="E18" s="568"/>
      <c r="F18" s="568"/>
      <c r="G18" s="503"/>
      <c r="H18" s="509"/>
      <c r="I18" s="496" t="s">
        <v>443</v>
      </c>
      <c r="J18" s="580">
        <f>D13</f>
        <v>181325.04509958011</v>
      </c>
      <c r="K18" s="579"/>
      <c r="L18" s="580">
        <f>D13</f>
        <v>181325.04509958011</v>
      </c>
      <c r="M18" s="579"/>
      <c r="N18" s="580">
        <f>D13</f>
        <v>181325.04509958011</v>
      </c>
      <c r="O18" s="585"/>
    </row>
    <row r="19" spans="2:15" x14ac:dyDescent="0.2">
      <c r="B19" s="503"/>
      <c r="C19" s="497" t="s">
        <v>426</v>
      </c>
      <c r="D19" s="527">
        <v>7.0000000000000007E-2</v>
      </c>
      <c r="E19" s="568"/>
      <c r="F19" s="568"/>
      <c r="G19" s="503"/>
      <c r="H19" s="509"/>
      <c r="I19" s="496" t="s">
        <v>444</v>
      </c>
      <c r="J19" s="580">
        <f>J17*J18</f>
        <v>1813.2504509958012</v>
      </c>
      <c r="K19" s="586"/>
      <c r="L19" s="580">
        <f>L17*L18</f>
        <v>5439.7513529874032</v>
      </c>
      <c r="M19" s="586"/>
      <c r="N19" s="580">
        <f>N17*N18</f>
        <v>9066.2522549790065</v>
      </c>
      <c r="O19" s="581"/>
    </row>
    <row r="20" spans="2:15" ht="16" customHeight="1" x14ac:dyDescent="0.2">
      <c r="B20" s="503"/>
      <c r="C20" s="497" t="s">
        <v>483</v>
      </c>
      <c r="D20" s="527">
        <f>+D16+D17*D19</f>
        <v>0.1</v>
      </c>
      <c r="E20" s="568"/>
      <c r="F20" s="568"/>
      <c r="G20" s="587" t="s">
        <v>445</v>
      </c>
      <c r="H20" s="588"/>
      <c r="I20" s="588"/>
      <c r="J20" s="589">
        <f>J19+$D$34</f>
        <v>3813.2504509958012</v>
      </c>
      <c r="K20" s="583"/>
      <c r="L20" s="589">
        <f>L19+$D$34</f>
        <v>7439.7513529874032</v>
      </c>
      <c r="M20" s="583"/>
      <c r="N20" s="589">
        <f>N19+$D$34</f>
        <v>11066.252254979006</v>
      </c>
      <c r="O20" s="584"/>
    </row>
    <row r="21" spans="2:15" x14ac:dyDescent="0.2">
      <c r="B21" s="503"/>
      <c r="C21" s="497" t="s">
        <v>484</v>
      </c>
      <c r="D21" s="543">
        <v>2.5000000000000001E-2</v>
      </c>
      <c r="E21" s="568"/>
      <c r="F21" s="568"/>
      <c r="G21" s="587"/>
      <c r="H21" s="588"/>
      <c r="I21" s="588"/>
      <c r="J21" s="590"/>
      <c r="K21" s="583"/>
      <c r="L21" s="590"/>
      <c r="M21" s="583"/>
      <c r="N21" s="590"/>
      <c r="O21" s="584"/>
    </row>
    <row r="22" spans="2:15" x14ac:dyDescent="0.2">
      <c r="B22" s="503"/>
      <c r="C22" s="509"/>
      <c r="D22" s="505"/>
      <c r="E22" s="568"/>
      <c r="F22" s="568"/>
      <c r="G22" s="503"/>
      <c r="H22" s="509"/>
      <c r="I22" s="496" t="s">
        <v>446</v>
      </c>
      <c r="J22" s="494"/>
      <c r="K22" s="495"/>
      <c r="L22" s="494"/>
      <c r="M22" s="495"/>
      <c r="N22" s="494"/>
      <c r="O22" s="528"/>
    </row>
    <row r="23" spans="2:15" ht="17" thickBot="1" x14ac:dyDescent="0.25">
      <c r="B23" s="503"/>
      <c r="C23" s="497" t="s">
        <v>439</v>
      </c>
      <c r="D23" s="527">
        <v>0.03</v>
      </c>
      <c r="E23" s="568"/>
      <c r="F23" s="568"/>
      <c r="G23" s="503"/>
      <c r="H23" s="509"/>
      <c r="I23" s="496" t="s">
        <v>447</v>
      </c>
      <c r="J23" s="591">
        <f>1-J24</f>
        <v>0.94589826245672493</v>
      </c>
      <c r="K23" s="592"/>
      <c r="L23" s="591">
        <f>1-L24</f>
        <v>0.95094999999999996</v>
      </c>
      <c r="M23" s="592"/>
      <c r="N23" s="591">
        <f>1-N24</f>
        <v>0.95094999999999996</v>
      </c>
      <c r="O23" s="593"/>
    </row>
    <row r="24" spans="2:15" ht="17" thickBot="1" x14ac:dyDescent="0.25">
      <c r="B24" s="491"/>
      <c r="C24" s="492" t="s">
        <v>461</v>
      </c>
      <c r="D24" s="493">
        <f>D13*D23</f>
        <v>5439.7513529874032</v>
      </c>
      <c r="E24" s="568"/>
      <c r="F24" s="568"/>
      <c r="G24" s="503"/>
      <c r="H24" s="509"/>
      <c r="I24" s="496" t="s">
        <v>448</v>
      </c>
      <c r="J24" s="591">
        <f>$D$37/J19</f>
        <v>5.4101737543275082E-2</v>
      </c>
      <c r="K24" s="592"/>
      <c r="L24" s="591">
        <f>$D$37/D34</f>
        <v>4.9050000000000003E-2</v>
      </c>
      <c r="M24" s="592"/>
      <c r="N24" s="591">
        <f>$D$37/D34</f>
        <v>4.9050000000000003E-2</v>
      </c>
      <c r="O24" s="593"/>
    </row>
    <row r="25" spans="2:15" x14ac:dyDescent="0.2">
      <c r="B25" s="568"/>
      <c r="C25" s="568"/>
      <c r="D25" s="569"/>
      <c r="E25" s="568"/>
      <c r="F25" s="568"/>
      <c r="G25" s="503"/>
      <c r="H25" s="509"/>
      <c r="I25" s="496" t="s">
        <v>449</v>
      </c>
      <c r="J25" s="494"/>
      <c r="K25" s="495"/>
      <c r="L25" s="494"/>
      <c r="M25" s="495"/>
      <c r="N25" s="494"/>
      <c r="O25" s="528"/>
    </row>
    <row r="26" spans="2:15" x14ac:dyDescent="0.2">
      <c r="B26" s="568"/>
      <c r="C26" s="568"/>
      <c r="D26" s="569"/>
      <c r="E26" s="568"/>
      <c r="F26" s="568"/>
      <c r="G26" s="503"/>
      <c r="H26" s="509"/>
      <c r="I26" s="496" t="s">
        <v>447</v>
      </c>
      <c r="J26" s="591">
        <f>1-J27-J28</f>
        <v>0.44978699223595525</v>
      </c>
      <c r="K26" s="592"/>
      <c r="L26" s="591">
        <f>1-L27-L28</f>
        <v>0.69530973599624413</v>
      </c>
      <c r="M26" s="592"/>
      <c r="N26" s="591">
        <f>1-N27-N28</f>
        <v>0.77908513046891881</v>
      </c>
      <c r="O26" s="593"/>
    </row>
    <row r="27" spans="2:15" x14ac:dyDescent="0.2">
      <c r="B27" s="568"/>
      <c r="C27" s="568"/>
      <c r="D27" s="568"/>
      <c r="E27" s="568"/>
      <c r="F27" s="568"/>
      <c r="G27" s="503"/>
      <c r="H27" s="509"/>
      <c r="I27" s="496" t="s">
        <v>450</v>
      </c>
      <c r="J27" s="591">
        <f>$D$34/J20</f>
        <v>0.52448692413521258</v>
      </c>
      <c r="K27" s="592"/>
      <c r="L27" s="591">
        <f>$D$34/L20</f>
        <v>0.26882618855224344</v>
      </c>
      <c r="M27" s="592"/>
      <c r="N27" s="591">
        <f>$D$34/N20</f>
        <v>0.18072965932076471</v>
      </c>
      <c r="O27" s="593"/>
    </row>
    <row r="28" spans="2:15" ht="17" thickBot="1" x14ac:dyDescent="0.25">
      <c r="B28" s="568"/>
      <c r="C28" s="568"/>
      <c r="D28" s="569"/>
      <c r="E28" s="568"/>
      <c r="F28" s="568"/>
      <c r="G28" s="520"/>
      <c r="H28" s="523"/>
      <c r="I28" s="529" t="s">
        <v>451</v>
      </c>
      <c r="J28" s="594">
        <f>J24*J19/J20</f>
        <v>2.5726083628832181E-2</v>
      </c>
      <c r="K28" s="596"/>
      <c r="L28" s="594">
        <f>L24*L19/L20</f>
        <v>3.5864075451512462E-2</v>
      </c>
      <c r="M28" s="596"/>
      <c r="N28" s="594">
        <f>N24*N19/N20</f>
        <v>4.0185210210316492E-2</v>
      </c>
      <c r="O28" s="595"/>
    </row>
    <row r="32" spans="2:15" ht="17" thickBot="1" x14ac:dyDescent="0.25"/>
    <row r="33" spans="2:10" x14ac:dyDescent="0.2">
      <c r="B33" s="575" t="s">
        <v>460</v>
      </c>
      <c r="C33" s="576"/>
      <c r="D33" s="577"/>
      <c r="E33" s="568"/>
      <c r="F33" s="568"/>
      <c r="G33" s="568"/>
      <c r="H33" s="568"/>
      <c r="I33" s="568"/>
      <c r="J33" s="568"/>
    </row>
    <row r="34" spans="2:10" x14ac:dyDescent="0.2">
      <c r="B34" s="503"/>
      <c r="C34" s="497" t="s">
        <v>389</v>
      </c>
      <c r="D34" s="505">
        <v>2000</v>
      </c>
      <c r="E34" s="568"/>
      <c r="F34" s="568"/>
      <c r="G34" s="568"/>
      <c r="H34" s="568"/>
      <c r="I34" s="568"/>
      <c r="J34" s="568"/>
    </row>
    <row r="35" spans="2:10" x14ac:dyDescent="0.2">
      <c r="B35" s="503"/>
      <c r="C35" s="497" t="s">
        <v>431</v>
      </c>
      <c r="D35" s="505">
        <f>+D24</f>
        <v>5439.7513529874032</v>
      </c>
      <c r="E35" s="568"/>
      <c r="F35" s="568"/>
      <c r="G35" s="568"/>
      <c r="H35" s="568"/>
      <c r="I35" s="568"/>
      <c r="J35" s="568"/>
    </row>
    <row r="36" spans="2:10" x14ac:dyDescent="0.2">
      <c r="B36" s="503"/>
      <c r="C36" s="497" t="s">
        <v>432</v>
      </c>
      <c r="D36" s="505">
        <f>+D35+D34</f>
        <v>7439.7513529874032</v>
      </c>
      <c r="E36" s="568"/>
      <c r="F36" s="568"/>
      <c r="G36" s="568"/>
      <c r="H36" s="568"/>
      <c r="I36" s="568"/>
      <c r="J36" s="568"/>
    </row>
    <row r="37" spans="2:10" ht="17" thickBot="1" x14ac:dyDescent="0.25">
      <c r="B37" s="520"/>
      <c r="C37" s="524" t="s">
        <v>452</v>
      </c>
      <c r="D37" s="526">
        <f>90*(1+0.09)</f>
        <v>98.100000000000009</v>
      </c>
      <c r="E37" s="568"/>
      <c r="F37" s="568"/>
      <c r="G37" s="568"/>
      <c r="H37" s="568"/>
      <c r="I37" s="568"/>
      <c r="J37" s="568"/>
    </row>
    <row r="38" spans="2:10" x14ac:dyDescent="0.2">
      <c r="B38" s="568"/>
      <c r="C38" s="568"/>
      <c r="D38" s="568"/>
      <c r="E38" s="568"/>
      <c r="F38" s="568"/>
      <c r="G38" s="568"/>
      <c r="H38" s="568"/>
      <c r="I38" s="568"/>
      <c r="J38" s="568"/>
    </row>
    <row r="39" spans="2:10" ht="17" thickBot="1" x14ac:dyDescent="0.25">
      <c r="B39" s="568"/>
      <c r="C39" s="568"/>
      <c r="D39" s="568"/>
      <c r="E39" s="568"/>
      <c r="F39" s="568"/>
      <c r="G39" s="568"/>
      <c r="H39" s="568"/>
      <c r="I39" s="568"/>
      <c r="J39" s="568"/>
    </row>
    <row r="40" spans="2:10" x14ac:dyDescent="0.2">
      <c r="B40" s="575" t="s">
        <v>453</v>
      </c>
      <c r="C40" s="576"/>
      <c r="D40" s="576"/>
      <c r="E40" s="577"/>
      <c r="F40" s="568"/>
      <c r="G40" s="575" t="s">
        <v>454</v>
      </c>
      <c r="H40" s="576"/>
      <c r="I40" s="576"/>
      <c r="J40" s="577"/>
    </row>
    <row r="41" spans="2:10" x14ac:dyDescent="0.2">
      <c r="B41" s="503"/>
      <c r="C41" s="509"/>
      <c r="D41" s="500" t="s">
        <v>434</v>
      </c>
      <c r="E41" s="522">
        <f>1-E42</f>
        <v>0.95094999999999996</v>
      </c>
      <c r="F41" s="568"/>
      <c r="G41" s="503"/>
      <c r="H41" s="509"/>
      <c r="I41" s="500" t="s">
        <v>434</v>
      </c>
      <c r="J41" s="522">
        <f>1-J43-J42</f>
        <v>0.69530973599624413</v>
      </c>
    </row>
    <row r="42" spans="2:10" ht="17" thickBot="1" x14ac:dyDescent="0.25">
      <c r="B42" s="520"/>
      <c r="C42" s="523"/>
      <c r="D42" s="524" t="s">
        <v>433</v>
      </c>
      <c r="E42" s="525">
        <f>D37/D34</f>
        <v>4.9050000000000003E-2</v>
      </c>
      <c r="F42" s="568"/>
      <c r="G42" s="503"/>
      <c r="H42" s="509"/>
      <c r="I42" s="500" t="s">
        <v>433</v>
      </c>
      <c r="J42" s="522">
        <f>E42*D35/D36</f>
        <v>3.5864075451512462E-2</v>
      </c>
    </row>
    <row r="43" spans="2:10" ht="17" thickBot="1" x14ac:dyDescent="0.25">
      <c r="B43" s="568"/>
      <c r="C43" s="568"/>
      <c r="D43" s="568"/>
      <c r="E43" s="568"/>
      <c r="F43" s="568"/>
      <c r="G43" s="520"/>
      <c r="H43" s="523"/>
      <c r="I43" s="524" t="s">
        <v>417</v>
      </c>
      <c r="J43" s="525">
        <f>D34/D36</f>
        <v>0.26882618855224344</v>
      </c>
    </row>
    <row r="44" spans="2:10" x14ac:dyDescent="0.2">
      <c r="B44" s="568"/>
      <c r="C44" s="568"/>
      <c r="D44" s="568"/>
      <c r="E44" s="568"/>
      <c r="F44" s="568"/>
      <c r="G44" s="568"/>
      <c r="H44" s="568"/>
      <c r="I44" s="568"/>
      <c r="J44" s="568"/>
    </row>
    <row r="45" spans="2:10" x14ac:dyDescent="0.2">
      <c r="B45" s="568"/>
      <c r="C45" s="568"/>
      <c r="D45" s="568"/>
      <c r="E45" s="568"/>
      <c r="F45" s="568"/>
      <c r="G45" s="568"/>
      <c r="H45" s="568"/>
      <c r="I45" s="568"/>
      <c r="J45" s="568"/>
    </row>
    <row r="46" spans="2:10" x14ac:dyDescent="0.2">
      <c r="B46" s="568"/>
      <c r="C46" s="568"/>
      <c r="D46" s="568"/>
      <c r="E46" s="568"/>
      <c r="F46" s="568"/>
      <c r="G46" s="568"/>
      <c r="H46" s="568"/>
      <c r="I46" s="568"/>
      <c r="J46" s="568"/>
    </row>
    <row r="47" spans="2:10" x14ac:dyDescent="0.2">
      <c r="B47" s="568"/>
      <c r="C47" s="568"/>
      <c r="D47" s="568"/>
      <c r="E47" s="568"/>
      <c r="F47" s="568"/>
      <c r="G47" s="568"/>
      <c r="H47" s="568"/>
      <c r="I47" s="568"/>
      <c r="J47" s="568"/>
    </row>
    <row r="48" spans="2:10" x14ac:dyDescent="0.2">
      <c r="B48" s="568"/>
      <c r="C48" s="568"/>
      <c r="D48" s="568"/>
      <c r="E48" s="568"/>
      <c r="F48" s="568"/>
      <c r="G48" s="568"/>
      <c r="H48" s="568"/>
      <c r="I48" s="568"/>
      <c r="J48" s="568"/>
    </row>
    <row r="49" spans="2:11" x14ac:dyDescent="0.2">
      <c r="B49" s="568"/>
      <c r="C49" s="568"/>
      <c r="D49" s="568"/>
      <c r="E49" s="568"/>
      <c r="F49" s="568"/>
      <c r="G49" s="568"/>
      <c r="H49" s="568"/>
      <c r="I49" s="568"/>
      <c r="J49" s="568"/>
    </row>
    <row r="50" spans="2:11" x14ac:dyDescent="0.2">
      <c r="B50" s="568"/>
      <c r="C50" s="568"/>
      <c r="D50" s="568"/>
      <c r="E50" s="568"/>
      <c r="F50" s="568"/>
      <c r="G50" s="568"/>
      <c r="H50" s="568"/>
      <c r="I50" s="568"/>
      <c r="J50" s="568"/>
    </row>
    <row r="51" spans="2:11" x14ac:dyDescent="0.2">
      <c r="B51" s="568"/>
      <c r="C51" s="568"/>
      <c r="D51" s="568"/>
      <c r="E51" s="568"/>
      <c r="F51" s="568"/>
      <c r="G51" s="568"/>
      <c r="H51" s="568"/>
      <c r="I51" s="568"/>
      <c r="J51" s="568"/>
    </row>
    <row r="52" spans="2:11" x14ac:dyDescent="0.2">
      <c r="B52" s="568"/>
      <c r="C52" s="568"/>
      <c r="D52" s="568"/>
      <c r="E52" s="568"/>
      <c r="F52" s="568"/>
      <c r="G52" s="568"/>
      <c r="H52" s="568"/>
      <c r="I52" s="568"/>
      <c r="J52" s="568"/>
    </row>
    <row r="53" spans="2:11" x14ac:dyDescent="0.2">
      <c r="B53" s="568"/>
      <c r="C53" s="568"/>
      <c r="D53" s="568"/>
      <c r="E53" s="568"/>
      <c r="F53" s="568"/>
      <c r="G53" s="568"/>
      <c r="H53" s="568"/>
      <c r="I53" s="568"/>
      <c r="J53" s="568"/>
    </row>
    <row r="54" spans="2:11" x14ac:dyDescent="0.2">
      <c r="B54" s="568"/>
      <c r="C54" s="568"/>
      <c r="D54" s="568"/>
      <c r="E54" s="568"/>
      <c r="F54" s="568"/>
      <c r="G54" s="568"/>
      <c r="H54" s="568"/>
      <c r="I54" s="568"/>
      <c r="J54" s="568"/>
    </row>
    <row r="55" spans="2:11" x14ac:dyDescent="0.2">
      <c r="B55" s="568"/>
      <c r="C55" s="568"/>
      <c r="D55" s="568"/>
      <c r="E55" s="568"/>
      <c r="F55" s="568"/>
      <c r="G55" s="568"/>
      <c r="H55" s="568"/>
      <c r="I55" s="568"/>
      <c r="J55" s="568"/>
    </row>
    <row r="56" spans="2:11" x14ac:dyDescent="0.2">
      <c r="B56" s="568"/>
      <c r="C56" s="568"/>
      <c r="D56" s="568"/>
      <c r="E56" s="568"/>
      <c r="F56" s="570"/>
      <c r="G56" s="568"/>
      <c r="H56" s="568"/>
      <c r="I56" s="568"/>
      <c r="J56" s="568"/>
    </row>
    <row r="57" spans="2:11" x14ac:dyDescent="0.2">
      <c r="F57" s="508"/>
    </row>
    <row r="58" spans="2:11" ht="17" thickBot="1" x14ac:dyDescent="0.25">
      <c r="F58" s="508"/>
    </row>
    <row r="59" spans="2:11" ht="17" thickBot="1" x14ac:dyDescent="0.25">
      <c r="B59" s="575" t="s">
        <v>481</v>
      </c>
      <c r="C59" s="576"/>
      <c r="D59" s="576"/>
      <c r="E59" s="577"/>
      <c r="F59" s="568"/>
      <c r="G59" s="568"/>
      <c r="H59" s="568"/>
      <c r="I59" s="568"/>
      <c r="J59" s="568"/>
      <c r="K59" s="568"/>
    </row>
    <row r="60" spans="2:11" x14ac:dyDescent="0.2">
      <c r="B60" s="518" t="s">
        <v>435</v>
      </c>
      <c r="C60" s="519">
        <f>Rollup!P53</f>
        <v>60372.489222158089</v>
      </c>
      <c r="D60" s="514" t="s">
        <v>353</v>
      </c>
      <c r="E60" s="515" t="s">
        <v>353</v>
      </c>
      <c r="F60" s="568"/>
      <c r="G60" s="568"/>
      <c r="H60" s="568"/>
      <c r="I60" s="568"/>
      <c r="J60" s="568"/>
      <c r="K60" s="568"/>
    </row>
    <row r="61" spans="2:11" x14ac:dyDescent="0.2">
      <c r="B61" s="518" t="s">
        <v>436</v>
      </c>
      <c r="C61" s="519">
        <f>Rollup!P37</f>
        <v>694311.59607662144</v>
      </c>
      <c r="D61" s="516" t="s">
        <v>34</v>
      </c>
      <c r="E61" s="517" t="s">
        <v>22</v>
      </c>
      <c r="F61" s="568"/>
      <c r="G61" s="568"/>
      <c r="H61" s="568"/>
      <c r="I61" s="568"/>
      <c r="J61" s="568"/>
      <c r="K61" s="568"/>
    </row>
    <row r="62" spans="2:11" x14ac:dyDescent="0.2">
      <c r="B62" s="518"/>
      <c r="C62" s="496" t="s">
        <v>455</v>
      </c>
      <c r="D62" s="501">
        <f>Comparables!N24</f>
        <v>1.1559084699453552</v>
      </c>
      <c r="E62" s="502">
        <f>Comparables!O24</f>
        <v>11.003880983182405</v>
      </c>
      <c r="F62" s="568"/>
      <c r="G62" s="568"/>
      <c r="H62" s="568"/>
      <c r="I62" s="568"/>
      <c r="J62" s="568"/>
      <c r="K62" s="568"/>
    </row>
    <row r="63" spans="2:11" x14ac:dyDescent="0.2">
      <c r="B63" s="503"/>
      <c r="C63" s="509"/>
      <c r="D63" s="503"/>
      <c r="E63" s="504"/>
      <c r="F63" s="568"/>
      <c r="G63" s="568"/>
      <c r="H63" s="568"/>
      <c r="I63" s="568"/>
      <c r="J63" s="568"/>
      <c r="K63" s="568"/>
    </row>
    <row r="64" spans="2:11" x14ac:dyDescent="0.2">
      <c r="B64" s="503"/>
      <c r="C64" s="496" t="s">
        <v>457</v>
      </c>
      <c r="D64" s="503"/>
      <c r="E64" s="505">
        <f>C60*E62</f>
        <v>664331.68605909008</v>
      </c>
      <c r="F64" s="568"/>
      <c r="G64" s="568"/>
      <c r="H64" s="568"/>
      <c r="I64" s="568"/>
      <c r="J64" s="568"/>
      <c r="K64" s="568"/>
    </row>
    <row r="65" spans="2:11" x14ac:dyDescent="0.2">
      <c r="B65" s="503"/>
      <c r="C65" s="496" t="s">
        <v>456</v>
      </c>
      <c r="D65" s="506">
        <f>C61*D62</f>
        <v>802560.65468624502</v>
      </c>
      <c r="E65" s="504"/>
      <c r="F65" s="568"/>
      <c r="G65" s="568"/>
      <c r="H65" s="568"/>
      <c r="I65" s="568"/>
      <c r="J65" s="568"/>
      <c r="K65" s="568"/>
    </row>
    <row r="66" spans="2:11" x14ac:dyDescent="0.2">
      <c r="B66" s="518" t="s">
        <v>121</v>
      </c>
      <c r="C66" s="544">
        <v>0.7</v>
      </c>
      <c r="D66" s="510"/>
      <c r="E66" s="511"/>
      <c r="F66" s="568"/>
      <c r="G66" s="568"/>
      <c r="H66" s="568"/>
      <c r="I66" s="568"/>
      <c r="J66" s="568"/>
      <c r="K66" s="568"/>
    </row>
    <row r="67" spans="2:11" ht="17" thickBot="1" x14ac:dyDescent="0.25">
      <c r="B67" s="520"/>
      <c r="C67" s="521" t="s">
        <v>437</v>
      </c>
      <c r="D67" s="512">
        <f>D65/(1+$C$66)^10</f>
        <v>3980.9676731040699</v>
      </c>
      <c r="E67" s="513">
        <f>E64/(1+$C$66)^10</f>
        <v>3295.3060319831879</v>
      </c>
      <c r="F67" s="568"/>
      <c r="G67" s="568"/>
      <c r="H67" s="568"/>
      <c r="I67" s="568"/>
      <c r="J67" s="568"/>
      <c r="K67" s="568"/>
    </row>
    <row r="68" spans="2:11" ht="17" thickBot="1" x14ac:dyDescent="0.25">
      <c r="B68" s="568"/>
      <c r="C68" s="568"/>
      <c r="D68" s="568"/>
      <c r="E68" s="568"/>
      <c r="F68" s="568"/>
      <c r="G68" s="568"/>
      <c r="H68" s="568"/>
      <c r="I68" s="568"/>
      <c r="J68" s="568"/>
      <c r="K68" s="568"/>
    </row>
    <row r="69" spans="2:11" x14ac:dyDescent="0.2">
      <c r="B69" s="575" t="s">
        <v>482</v>
      </c>
      <c r="C69" s="576"/>
      <c r="D69" s="576"/>
      <c r="E69" s="577"/>
      <c r="F69" s="568"/>
      <c r="G69" s="568"/>
      <c r="H69" s="568"/>
      <c r="I69" s="568"/>
      <c r="J69" s="568"/>
      <c r="K69" s="568"/>
    </row>
    <row r="70" spans="2:11" ht="80" x14ac:dyDescent="0.2">
      <c r="B70" s="530"/>
      <c r="C70" s="540" t="s">
        <v>121</v>
      </c>
      <c r="D70" s="541" t="s">
        <v>458</v>
      </c>
      <c r="E70" s="542" t="s">
        <v>459</v>
      </c>
      <c r="F70" s="568"/>
      <c r="G70" s="568"/>
      <c r="H70" s="568"/>
      <c r="I70" s="568"/>
      <c r="J70" s="568"/>
      <c r="K70" s="568"/>
    </row>
    <row r="71" spans="2:11" x14ac:dyDescent="0.2">
      <c r="B71" s="503"/>
      <c r="C71" s="509">
        <v>0</v>
      </c>
      <c r="D71" s="519">
        <f>D65</f>
        <v>802560.65468624502</v>
      </c>
      <c r="E71" s="505">
        <f>E64</f>
        <v>664331.68605909008</v>
      </c>
      <c r="F71" s="568"/>
      <c r="G71" s="568"/>
      <c r="H71" s="568"/>
      <c r="I71" s="568"/>
      <c r="J71" s="568"/>
      <c r="K71" s="568"/>
    </row>
    <row r="72" spans="2:11" x14ac:dyDescent="0.2">
      <c r="B72" s="503"/>
      <c r="C72" s="538">
        <v>0.1</v>
      </c>
      <c r="D72" s="519">
        <f t="shared" ref="D72:E79" si="1">D$71/(1+$C72)^10</f>
        <v>309421.87477445323</v>
      </c>
      <c r="E72" s="505">
        <f t="shared" si="1"/>
        <v>256128.62351548841</v>
      </c>
      <c r="F72" s="568"/>
      <c r="G72" s="568"/>
      <c r="H72" s="568"/>
      <c r="I72" s="568"/>
      <c r="J72" s="568"/>
      <c r="K72" s="568"/>
    </row>
    <row r="73" spans="2:11" x14ac:dyDescent="0.2">
      <c r="B73" s="503"/>
      <c r="C73" s="538">
        <v>0.2</v>
      </c>
      <c r="D73" s="519">
        <f t="shared" si="1"/>
        <v>129618.02633955822</v>
      </c>
      <c r="E73" s="505">
        <f t="shared" si="1"/>
        <v>107293.27618916736</v>
      </c>
      <c r="F73" s="568"/>
      <c r="G73" s="568"/>
      <c r="H73" s="568"/>
      <c r="I73" s="568"/>
      <c r="J73" s="568"/>
      <c r="K73" s="568"/>
    </row>
    <row r="74" spans="2:11" x14ac:dyDescent="0.2">
      <c r="B74" s="503"/>
      <c r="C74" s="538">
        <v>0.3</v>
      </c>
      <c r="D74" s="519">
        <f t="shared" si="1"/>
        <v>58216.265383586986</v>
      </c>
      <c r="E74" s="505">
        <f t="shared" si="1"/>
        <v>48189.391683375565</v>
      </c>
      <c r="F74" s="568"/>
      <c r="G74" s="568"/>
      <c r="H74" s="568"/>
      <c r="I74" s="568"/>
      <c r="J74" s="568"/>
      <c r="K74" s="568"/>
    </row>
    <row r="75" spans="2:11" x14ac:dyDescent="0.2">
      <c r="B75" s="503"/>
      <c r="C75" s="538">
        <v>0.4</v>
      </c>
      <c r="D75" s="519">
        <f t="shared" si="1"/>
        <v>27745.816389811793</v>
      </c>
      <c r="E75" s="505">
        <f t="shared" si="1"/>
        <v>22967.017976399078</v>
      </c>
      <c r="F75" s="568"/>
      <c r="G75" s="568"/>
      <c r="H75" s="568"/>
      <c r="I75" s="568"/>
      <c r="J75" s="568"/>
      <c r="K75" s="568"/>
    </row>
    <row r="76" spans="2:11" x14ac:dyDescent="0.2">
      <c r="B76" s="503"/>
      <c r="C76" s="538">
        <v>0.5</v>
      </c>
      <c r="D76" s="519">
        <f t="shared" si="1"/>
        <v>13917.629602511726</v>
      </c>
      <c r="E76" s="505">
        <f t="shared" si="1"/>
        <v>11520.52780782923</v>
      </c>
      <c r="F76" s="568"/>
      <c r="G76" s="568"/>
      <c r="H76" s="568"/>
      <c r="I76" s="568"/>
      <c r="J76" s="568"/>
      <c r="K76" s="568"/>
    </row>
    <row r="77" spans="2:11" x14ac:dyDescent="0.2">
      <c r="B77" s="503"/>
      <c r="C77" s="538">
        <v>0.6</v>
      </c>
      <c r="D77" s="519">
        <f t="shared" si="1"/>
        <v>7299.2466328855171</v>
      </c>
      <c r="E77" s="505">
        <f t="shared" si="1"/>
        <v>6042.061486906181</v>
      </c>
      <c r="F77" s="568"/>
      <c r="G77" s="568"/>
      <c r="H77" s="568"/>
      <c r="I77" s="568"/>
      <c r="J77" s="568"/>
      <c r="K77" s="568"/>
    </row>
    <row r="78" spans="2:11" x14ac:dyDescent="0.2">
      <c r="B78" s="503"/>
      <c r="C78" s="538">
        <v>0.7</v>
      </c>
      <c r="D78" s="519">
        <f t="shared" si="1"/>
        <v>3980.9676731040699</v>
      </c>
      <c r="E78" s="505">
        <f t="shared" si="1"/>
        <v>3295.3060319831879</v>
      </c>
      <c r="F78" s="568"/>
      <c r="G78" s="568"/>
      <c r="H78" s="568"/>
      <c r="I78" s="568"/>
      <c r="J78" s="568"/>
      <c r="K78" s="568"/>
    </row>
    <row r="79" spans="2:11" ht="17" thickBot="1" x14ac:dyDescent="0.25">
      <c r="B79" s="520"/>
      <c r="C79" s="539">
        <v>0.8</v>
      </c>
      <c r="D79" s="534">
        <f t="shared" si="1"/>
        <v>2247.7748813986273</v>
      </c>
      <c r="E79" s="507">
        <f t="shared" si="1"/>
        <v>1860.6295588021355</v>
      </c>
      <c r="F79" s="568"/>
      <c r="G79" s="568"/>
      <c r="H79" s="568"/>
      <c r="I79" s="568"/>
      <c r="J79" s="568"/>
      <c r="K79" s="568"/>
    </row>
  </sheetData>
  <mergeCells count="39">
    <mergeCell ref="B69:E69"/>
    <mergeCell ref="B59:E59"/>
    <mergeCell ref="N26:O26"/>
    <mergeCell ref="N27:O27"/>
    <mergeCell ref="N28:O28"/>
    <mergeCell ref="B33:D33"/>
    <mergeCell ref="B40:E40"/>
    <mergeCell ref="G40:J40"/>
    <mergeCell ref="J28:K28"/>
    <mergeCell ref="J27:K27"/>
    <mergeCell ref="J26:K26"/>
    <mergeCell ref="L27:M27"/>
    <mergeCell ref="L28:M28"/>
    <mergeCell ref="L26:M26"/>
    <mergeCell ref="J23:K23"/>
    <mergeCell ref="J24:K24"/>
    <mergeCell ref="L24:M24"/>
    <mergeCell ref="L23:M23"/>
    <mergeCell ref="N24:O24"/>
    <mergeCell ref="N23:O23"/>
    <mergeCell ref="J19:K19"/>
    <mergeCell ref="L19:M19"/>
    <mergeCell ref="N19:O19"/>
    <mergeCell ref="G20:I21"/>
    <mergeCell ref="J20:K21"/>
    <mergeCell ref="L20:M21"/>
    <mergeCell ref="N20:O21"/>
    <mergeCell ref="J17:K17"/>
    <mergeCell ref="L17:M17"/>
    <mergeCell ref="N17:O17"/>
    <mergeCell ref="J18:K18"/>
    <mergeCell ref="L18:M18"/>
    <mergeCell ref="N18:O18"/>
    <mergeCell ref="B9:O9"/>
    <mergeCell ref="B15:D15"/>
    <mergeCell ref="G15:O15"/>
    <mergeCell ref="J16:K16"/>
    <mergeCell ref="L16:M16"/>
    <mergeCell ref="N16:O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1:U29"/>
  <sheetViews>
    <sheetView showGridLines="0" zoomScale="109" workbookViewId="0">
      <selection activeCell="N10" sqref="N10:O11"/>
    </sheetView>
  </sheetViews>
  <sheetFormatPr baseColWidth="10" defaultColWidth="11.5" defaultRowHeight="13" x14ac:dyDescent="0.15"/>
  <cols>
    <col min="1" max="3" width="3.33203125" style="1" customWidth="1"/>
    <col min="4" max="4" width="24.6640625" style="17" customWidth="1"/>
    <col min="5" max="5" width="10.5" style="17" bestFit="1" customWidth="1"/>
    <col min="6" max="6" width="14" style="17" bestFit="1" customWidth="1"/>
    <col min="7" max="7" width="14.5" style="17" bestFit="1" customWidth="1"/>
    <col min="8" max="8" width="14" style="17" bestFit="1" customWidth="1"/>
    <col min="9" max="9" width="2.1640625" style="17" customWidth="1"/>
    <col min="10" max="10" width="14" style="17" bestFit="1" customWidth="1"/>
    <col min="11" max="11" width="12" style="17" bestFit="1" customWidth="1"/>
    <col min="12" max="12" width="10.83203125" style="17" bestFit="1" customWidth="1"/>
    <col min="13" max="13" width="2.1640625" style="17" customWidth="1"/>
    <col min="14" max="14" width="11.5" style="17" bestFit="1" customWidth="1"/>
    <col min="15" max="15" width="10.83203125" style="17" bestFit="1" customWidth="1"/>
    <col min="16" max="16" width="2.1640625" style="17" customWidth="1"/>
    <col min="17" max="17" width="9.5" style="17" bestFit="1" customWidth="1"/>
    <col min="18" max="18" width="12.1640625" style="17" bestFit="1" customWidth="1"/>
    <col min="19" max="19" width="4.1640625" style="17" customWidth="1"/>
    <col min="20" max="21" width="11.5" style="18" customWidth="1"/>
    <col min="22" max="16384" width="11.5" style="17"/>
  </cols>
  <sheetData>
    <row r="1" spans="4:21" s="1" customFormat="1" ht="11.25" customHeight="1" x14ac:dyDescent="0.15">
      <c r="T1" s="2"/>
      <c r="U1" s="2"/>
    </row>
    <row r="2" spans="4:21" s="1" customFormat="1" x14ac:dyDescent="0.15">
      <c r="T2" s="2"/>
      <c r="U2" s="3"/>
    </row>
    <row r="3" spans="4:21" s="1" customFormat="1" ht="20" customHeight="1" x14ac:dyDescent="0.25">
      <c r="D3" s="4" t="s">
        <v>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7" t="str">
        <f ca="1">UPPER('[4]Control Panel'!F7)&amp;"  |  "&amp;UPPER(TEXT(NOW(),"mmmm d, yyyy"))</f>
        <v>ZIPFIT.ME  |  SEPTEMBER 12, 2016</v>
      </c>
      <c r="T3" s="2"/>
      <c r="U3" s="8"/>
    </row>
    <row r="4" spans="4:21" s="1" customFormat="1" ht="3" customHeight="1" x14ac:dyDescent="0.2"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  <c r="S4" s="11"/>
      <c r="T4" s="12"/>
      <c r="U4" s="12"/>
    </row>
    <row r="5" spans="4:21" s="1" customFormat="1" ht="2" customHeight="1" x14ac:dyDescent="0.15"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4"/>
      <c r="U5" s="14"/>
    </row>
    <row r="6" spans="4:21" s="1" customFormat="1" ht="5.25" customHeight="1" x14ac:dyDescent="0.15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4"/>
      <c r="U6" s="14"/>
    </row>
    <row r="7" spans="4:21" s="17" customFormat="1" ht="18" x14ac:dyDescent="0.2">
      <c r="D7" s="16" t="s">
        <v>349</v>
      </c>
      <c r="T7" s="18"/>
      <c r="U7" s="18"/>
    </row>
    <row r="8" spans="4:21" s="17" customFormat="1" x14ac:dyDescent="0.15">
      <c r="D8" s="19" t="s">
        <v>350</v>
      </c>
      <c r="T8" s="18"/>
      <c r="U8" s="18"/>
    </row>
    <row r="9" spans="4:21" s="17" customFormat="1" x14ac:dyDescent="0.15">
      <c r="F9" s="20"/>
      <c r="G9" s="447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18"/>
      <c r="U9" s="18"/>
    </row>
    <row r="10" spans="4:21" s="17" customFormat="1" x14ac:dyDescent="0.15">
      <c r="F10" s="20"/>
      <c r="G10" s="42" t="s">
        <v>351</v>
      </c>
      <c r="H10" s="42"/>
      <c r="I10" s="42"/>
      <c r="J10" s="42" t="s">
        <v>352</v>
      </c>
      <c r="K10" s="42" t="s">
        <v>352</v>
      </c>
      <c r="L10" s="375" t="s">
        <v>22</v>
      </c>
      <c r="M10" s="375"/>
      <c r="N10" s="375" t="s">
        <v>353</v>
      </c>
      <c r="O10" s="375" t="s">
        <v>353</v>
      </c>
      <c r="P10" s="375"/>
      <c r="Q10" s="448"/>
      <c r="R10" s="25"/>
      <c r="S10" s="23"/>
      <c r="T10" s="18"/>
      <c r="U10" s="18"/>
    </row>
    <row r="11" spans="4:21" s="17" customFormat="1" x14ac:dyDescent="0.15">
      <c r="F11" s="41" t="s">
        <v>354</v>
      </c>
      <c r="G11" s="41" t="s">
        <v>355</v>
      </c>
      <c r="H11" s="41" t="s">
        <v>356</v>
      </c>
      <c r="I11" s="375"/>
      <c r="J11" s="25" t="s">
        <v>34</v>
      </c>
      <c r="K11" s="25" t="s">
        <v>22</v>
      </c>
      <c r="L11" s="25" t="s">
        <v>122</v>
      </c>
      <c r="M11" s="375"/>
      <c r="N11" s="25" t="s">
        <v>34</v>
      </c>
      <c r="O11" s="25" t="s">
        <v>22</v>
      </c>
      <c r="P11" s="375"/>
      <c r="Q11" s="25"/>
      <c r="R11" s="25"/>
      <c r="S11" s="375"/>
      <c r="T11" s="18"/>
      <c r="U11" s="18"/>
    </row>
    <row r="12" spans="4:21" s="17" customFormat="1" x14ac:dyDescent="0.15">
      <c r="F12" s="42"/>
      <c r="G12" s="375"/>
      <c r="H12" s="375"/>
      <c r="I12" s="375"/>
      <c r="J12" s="375"/>
      <c r="K12" s="375"/>
      <c r="L12" s="375"/>
      <c r="M12" s="375"/>
      <c r="N12" s="375"/>
      <c r="O12" s="375"/>
      <c r="P12" s="375"/>
      <c r="Q12" s="375"/>
      <c r="R12" s="375"/>
      <c r="S12" s="375"/>
      <c r="T12" s="18"/>
      <c r="U12" s="18"/>
    </row>
    <row r="13" spans="4:21" s="17" customFormat="1" x14ac:dyDescent="0.15">
      <c r="D13" s="449" t="s">
        <v>357</v>
      </c>
      <c r="E13" s="450" t="s">
        <v>358</v>
      </c>
      <c r="F13" s="451">
        <f>1939-(9576-1849)</f>
        <v>-5788</v>
      </c>
      <c r="G13" s="451">
        <v>108660</v>
      </c>
      <c r="H13" s="452">
        <f t="shared" ref="H13:H21" si="0">F13+G13</f>
        <v>102872</v>
      </c>
      <c r="I13" s="453"/>
      <c r="J13" s="451">
        <f>13806+12834+13185+17431</f>
        <v>57256</v>
      </c>
      <c r="K13" s="451">
        <f>-28+107+192+260</f>
        <v>531</v>
      </c>
      <c r="L13" s="454">
        <f t="shared" ref="L13:L21" si="1">K13/J13</f>
        <v>9.2741372083275115E-3</v>
      </c>
      <c r="M13" s="454"/>
      <c r="N13" s="455">
        <f t="shared" ref="N13:N21" si="2">H13/J13</f>
        <v>1.7967025289925946</v>
      </c>
      <c r="O13" s="456">
        <f t="shared" ref="O13:O21" si="3">H13/K13</f>
        <v>193.73258003766477</v>
      </c>
      <c r="P13" s="457"/>
      <c r="Q13" s="458"/>
      <c r="R13" s="458"/>
      <c r="S13" s="436"/>
      <c r="T13" s="18"/>
      <c r="U13" s="18"/>
    </row>
    <row r="14" spans="4:21" s="17" customFormat="1" ht="11.25" customHeight="1" x14ac:dyDescent="0.15">
      <c r="D14" s="459" t="s">
        <v>359</v>
      </c>
      <c r="E14" s="295" t="s">
        <v>360</v>
      </c>
      <c r="F14" s="390">
        <f>2090-(5929-448)</f>
        <v>-3391</v>
      </c>
      <c r="G14" s="390">
        <v>63420</v>
      </c>
      <c r="H14" s="460">
        <f t="shared" si="0"/>
        <v>60029</v>
      </c>
      <c r="I14" s="461"/>
      <c r="J14" s="390">
        <f>3404+3398+3277+3380</f>
        <v>13459</v>
      </c>
      <c r="K14" s="390">
        <f>667+83+695+84+653+84+753.1+85.4</f>
        <v>3104.5</v>
      </c>
      <c r="L14" s="454">
        <f t="shared" si="1"/>
        <v>0.2306634965450628</v>
      </c>
      <c r="M14" s="454"/>
      <c r="N14" s="455">
        <f t="shared" si="2"/>
        <v>4.4601381974886696</v>
      </c>
      <c r="O14" s="456">
        <f t="shared" si="3"/>
        <v>19.336124979867932</v>
      </c>
      <c r="P14" s="457"/>
      <c r="Q14" s="458"/>
      <c r="R14" s="458"/>
      <c r="S14" s="378"/>
      <c r="T14" s="18"/>
      <c r="U14" s="18"/>
    </row>
    <row r="15" spans="4:21" s="17" customFormat="1" ht="11.25" customHeight="1" x14ac:dyDescent="0.15">
      <c r="D15" s="459" t="s">
        <v>361</v>
      </c>
      <c r="E15" s="295" t="s">
        <v>362</v>
      </c>
      <c r="F15" s="390">
        <f>0-(4.41-3.69)</f>
        <v>-0.7200000000000002</v>
      </c>
      <c r="G15" s="390">
        <v>27</v>
      </c>
      <c r="H15" s="460">
        <f t="shared" si="0"/>
        <v>26.28</v>
      </c>
      <c r="I15" s="461"/>
      <c r="J15" s="390">
        <f>22.2+24.3+29.4+21.2</f>
        <v>97.100000000000009</v>
      </c>
      <c r="K15" s="390">
        <f>-4.9-7.8-6.2-2.5</f>
        <v>-21.4</v>
      </c>
      <c r="L15" s="454">
        <f t="shared" si="1"/>
        <v>-0.22039134912461378</v>
      </c>
      <c r="M15" s="382"/>
      <c r="N15" s="455">
        <f t="shared" si="2"/>
        <v>0.27064881565396498</v>
      </c>
      <c r="O15" s="456">
        <f t="shared" si="3"/>
        <v>-1.2280373831775702</v>
      </c>
      <c r="P15" s="457"/>
      <c r="Q15" s="458"/>
      <c r="R15" s="458"/>
      <c r="T15" s="378"/>
      <c r="U15" s="18"/>
    </row>
    <row r="16" spans="4:21" s="17" customFormat="1" ht="11.25" customHeight="1" x14ac:dyDescent="0.15">
      <c r="D16" s="459" t="s">
        <v>363</v>
      </c>
      <c r="E16" s="295" t="s">
        <v>364</v>
      </c>
      <c r="F16" s="390">
        <f>883.38</f>
        <v>883.38</v>
      </c>
      <c r="G16" s="390">
        <v>225.6</v>
      </c>
      <c r="H16" s="460">
        <f t="shared" si="0"/>
        <v>1108.98</v>
      </c>
      <c r="I16" s="461"/>
      <c r="J16" s="390">
        <f>607.3+654.3+1009.2+670.6</f>
        <v>2941.4</v>
      </c>
      <c r="K16" s="390">
        <f>-23.9+6.3+24.7-19.7+1.2+23.4+98.6-14.7+22.4+0.5+0.2+24.3</f>
        <v>143.29999999999998</v>
      </c>
      <c r="L16" s="454">
        <f t="shared" si="1"/>
        <v>4.8718297409396878E-2</v>
      </c>
      <c r="M16" s="462"/>
      <c r="N16" s="455">
        <f t="shared" si="2"/>
        <v>0.37702454613449377</v>
      </c>
      <c r="O16" s="456">
        <f t="shared" si="3"/>
        <v>7.7388695045359395</v>
      </c>
      <c r="P16" s="457"/>
      <c r="Q16" s="458"/>
      <c r="R16" s="458"/>
      <c r="T16" s="378"/>
      <c r="U16" s="18"/>
    </row>
    <row r="17" spans="1:21" ht="11.25" customHeight="1" x14ac:dyDescent="0.15">
      <c r="D17" s="459" t="s">
        <v>365</v>
      </c>
      <c r="E17" s="295" t="s">
        <v>366</v>
      </c>
      <c r="F17" s="390">
        <f>3647-(1877-418)</f>
        <v>2188</v>
      </c>
      <c r="G17" s="390">
        <v>11350</v>
      </c>
      <c r="H17" s="460">
        <f t="shared" si="0"/>
        <v>13538</v>
      </c>
      <c r="I17" s="461"/>
      <c r="J17" s="390">
        <f>2808+3009+2629+3266</f>
        <v>11712</v>
      </c>
      <c r="K17" s="390">
        <f>239+250+240+379</f>
        <v>1108</v>
      </c>
      <c r="L17" s="454">
        <f t="shared" si="1"/>
        <v>9.4603825136612016E-2</v>
      </c>
      <c r="M17" s="462"/>
      <c r="N17" s="455">
        <f t="shared" si="2"/>
        <v>1.1559084699453552</v>
      </c>
      <c r="O17" s="456">
        <f t="shared" si="3"/>
        <v>12.21841155234657</v>
      </c>
      <c r="P17" s="457"/>
      <c r="Q17" s="458"/>
      <c r="R17" s="458"/>
      <c r="T17" s="378"/>
      <c r="U17" s="17"/>
    </row>
    <row r="18" spans="1:21" ht="11.25" customHeight="1" x14ac:dyDescent="0.15">
      <c r="D18" s="459" t="s">
        <v>367</v>
      </c>
      <c r="E18" s="295" t="s">
        <v>368</v>
      </c>
      <c r="F18" s="390">
        <f>3538-(935-399)</f>
        <v>3002</v>
      </c>
      <c r="G18" s="390">
        <v>14010</v>
      </c>
      <c r="H18" s="460">
        <f t="shared" si="0"/>
        <v>17012</v>
      </c>
      <c r="I18" s="461"/>
      <c r="J18" s="390">
        <f>2399+2154+3515+2174</f>
        <v>10242</v>
      </c>
      <c r="K18" s="390">
        <f>305+293+641+121+186</f>
        <v>1546</v>
      </c>
      <c r="L18" s="454">
        <f t="shared" si="1"/>
        <v>0.15094708064831089</v>
      </c>
      <c r="M18" s="382"/>
      <c r="N18" s="455">
        <f t="shared" si="2"/>
        <v>1.661003710212849</v>
      </c>
      <c r="O18" s="456">
        <f t="shared" si="3"/>
        <v>11.003880983182405</v>
      </c>
      <c r="P18" s="457"/>
      <c r="Q18" s="458"/>
      <c r="R18" s="458"/>
      <c r="T18" s="378"/>
      <c r="U18" s="17"/>
    </row>
    <row r="19" spans="1:21" ht="11.25" customHeight="1" x14ac:dyDescent="0.15">
      <c r="D19" s="459" t="s">
        <v>369</v>
      </c>
      <c r="E19" s="295" t="s">
        <v>370</v>
      </c>
      <c r="F19" s="390">
        <f>7758-(2827-1016)</f>
        <v>5947</v>
      </c>
      <c r="G19" s="390">
        <v>16500</v>
      </c>
      <c r="H19" s="460">
        <f t="shared" si="0"/>
        <v>22447</v>
      </c>
      <c r="I19" s="461"/>
      <c r="J19" s="390">
        <f>6075+6118+6143+8724</f>
        <v>27060</v>
      </c>
      <c r="K19" s="390">
        <f>325+554+391+1284+25</f>
        <v>2579</v>
      </c>
      <c r="L19" s="454">
        <f t="shared" si="1"/>
        <v>9.5306725794530672E-2</v>
      </c>
      <c r="M19" s="382"/>
      <c r="N19" s="455">
        <f t="shared" si="2"/>
        <v>0.82952697708795264</v>
      </c>
      <c r="O19" s="456">
        <f t="shared" si="3"/>
        <v>8.7037611477316794</v>
      </c>
      <c r="P19" s="457"/>
      <c r="Q19" s="458"/>
      <c r="R19" s="458"/>
      <c r="T19" s="463"/>
      <c r="U19" s="17"/>
    </row>
    <row r="20" spans="1:21" ht="11.25" customHeight="1" x14ac:dyDescent="0.15">
      <c r="D20" s="459" t="s">
        <v>371</v>
      </c>
      <c r="E20" s="295" t="s">
        <v>372</v>
      </c>
      <c r="F20" s="390">
        <f>375-(208.18+115.9)</f>
        <v>50.919999999999959</v>
      </c>
      <c r="G20" s="390">
        <v>1610</v>
      </c>
      <c r="H20" s="460">
        <f t="shared" si="0"/>
        <v>1660.92</v>
      </c>
      <c r="I20" s="461"/>
      <c r="J20" s="390">
        <f>704.1+753.6+925.1+692.3</f>
        <v>3075.1000000000004</v>
      </c>
      <c r="K20" s="390">
        <f>-13.9+4.7+30.2+64.9+0.3+28.9+52+6.9+30+39.7+0.2+30.5</f>
        <v>274.39999999999998</v>
      </c>
      <c r="L20" s="454">
        <f t="shared" si="1"/>
        <v>8.923287047575687E-2</v>
      </c>
      <c r="M20" s="382"/>
      <c r="N20" s="455">
        <f t="shared" si="2"/>
        <v>0.54011902051965788</v>
      </c>
      <c r="O20" s="456">
        <f t="shared" si="3"/>
        <v>6.0529154518950445</v>
      </c>
      <c r="P20" s="457"/>
      <c r="Q20" s="458"/>
      <c r="R20" s="458"/>
      <c r="T20" s="33"/>
      <c r="U20" s="17"/>
    </row>
    <row r="21" spans="1:21" ht="11.25" customHeight="1" x14ac:dyDescent="0.15">
      <c r="D21" s="459" t="s">
        <v>373</v>
      </c>
      <c r="E21" s="295" t="s">
        <v>374</v>
      </c>
      <c r="F21" s="390">
        <f>1665-(1885-559.58)</f>
        <v>339.57999999999993</v>
      </c>
      <c r="G21" s="390">
        <v>17040</v>
      </c>
      <c r="H21" s="460">
        <f t="shared" si="0"/>
        <v>17379.580000000002</v>
      </c>
      <c r="I21" s="461"/>
      <c r="J21" s="390">
        <f>3575+3487+4283+3585</f>
        <v>14930</v>
      </c>
      <c r="K21" s="390">
        <f>425+395+372+346</f>
        <v>1538</v>
      </c>
      <c r="L21" s="454">
        <f t="shared" si="1"/>
        <v>0.10301406563965171</v>
      </c>
      <c r="M21" s="382"/>
      <c r="N21" s="455">
        <f t="shared" si="2"/>
        <v>1.164070997990623</v>
      </c>
      <c r="O21" s="456">
        <f t="shared" si="3"/>
        <v>11.300117035110535</v>
      </c>
      <c r="P21" s="457"/>
      <c r="Q21" s="458"/>
      <c r="R21" s="458"/>
      <c r="T21" s="378"/>
      <c r="U21" s="17"/>
    </row>
    <row r="22" spans="1:21" ht="11.25" customHeight="1" x14ac:dyDescent="0.15">
      <c r="D22" s="295"/>
      <c r="E22" s="295"/>
      <c r="F22" s="464"/>
      <c r="G22" s="376"/>
      <c r="H22" s="465"/>
      <c r="I22" s="465"/>
      <c r="J22" s="376"/>
      <c r="K22" s="376"/>
      <c r="L22" s="193"/>
      <c r="M22" s="32"/>
      <c r="N22" s="466"/>
      <c r="O22" s="443"/>
      <c r="P22" s="30"/>
      <c r="Q22" s="467"/>
      <c r="R22" s="467"/>
      <c r="S22" s="33"/>
      <c r="U22" s="17"/>
    </row>
    <row r="23" spans="1:21" ht="11.25" customHeight="1" x14ac:dyDescent="0.15"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3"/>
      <c r="R23" s="33"/>
      <c r="S23" s="33"/>
      <c r="U23" s="17"/>
    </row>
    <row r="24" spans="1:21" ht="11.25" customHeight="1" x14ac:dyDescent="0.15">
      <c r="D24" s="468" t="s">
        <v>375</v>
      </c>
      <c r="E24" s="469"/>
      <c r="F24" s="470">
        <f>MEDIAN(F13:F22)</f>
        <v>339.57999999999993</v>
      </c>
      <c r="G24" s="470">
        <f>MEDIAN(G13:G22)</f>
        <v>14010</v>
      </c>
      <c r="H24" s="470">
        <f>MEDIAN(H13:H22)</f>
        <v>17012</v>
      </c>
      <c r="I24" s="470"/>
      <c r="J24" s="470">
        <f>MEDIAN(J13:J22)</f>
        <v>11712</v>
      </c>
      <c r="K24" s="470">
        <f>MEDIAN(K13:K22)</f>
        <v>1108</v>
      </c>
      <c r="L24" s="471">
        <f>MEDIAN(L13:L22)</f>
        <v>9.4603825136612016E-2</v>
      </c>
      <c r="M24" s="470"/>
      <c r="N24" s="472">
        <f>MEDIAN(N13:N22)</f>
        <v>1.1559084699453552</v>
      </c>
      <c r="O24" s="472">
        <f>MEDIAN(O13:O22)</f>
        <v>11.003880983182405</v>
      </c>
      <c r="P24" s="470"/>
      <c r="Q24" s="473"/>
      <c r="R24" s="474"/>
      <c r="S24" s="42"/>
      <c r="U24" s="17"/>
    </row>
    <row r="25" spans="1:21" ht="11.25" customHeight="1" x14ac:dyDescent="0.15">
      <c r="D25" s="40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U25" s="17"/>
    </row>
    <row r="26" spans="1:21" s="18" customFormat="1" ht="11.25" customHeight="1" x14ac:dyDescent="0.15">
      <c r="A26" s="1"/>
      <c r="B26" s="1"/>
      <c r="C26" s="1"/>
      <c r="E26" s="17"/>
      <c r="F26" s="475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3"/>
      <c r="R26" s="33"/>
      <c r="S26" s="33"/>
    </row>
    <row r="27" spans="1:21" s="18" customFormat="1" ht="11.25" customHeight="1" x14ac:dyDescent="0.15">
      <c r="A27" s="1"/>
      <c r="B27" s="1"/>
      <c r="C27" s="1"/>
      <c r="D27" s="476"/>
      <c r="K27" s="33"/>
      <c r="L27" s="17"/>
      <c r="M27" s="17"/>
      <c r="N27" s="17"/>
      <c r="O27" s="17"/>
      <c r="P27" s="17"/>
      <c r="Q27" s="17"/>
      <c r="R27" s="17"/>
      <c r="S27" s="33"/>
    </row>
    <row r="28" spans="1:21" s="18" customFormat="1" ht="11.25" customHeight="1" x14ac:dyDescent="0.15">
      <c r="A28" s="1"/>
      <c r="B28" s="1"/>
      <c r="C28" s="1"/>
      <c r="E28" s="17"/>
      <c r="K28" s="33"/>
      <c r="L28" s="17"/>
      <c r="M28" s="17"/>
      <c r="N28" s="17"/>
      <c r="O28" s="17"/>
      <c r="P28" s="17"/>
      <c r="Q28" s="17"/>
      <c r="R28" s="17"/>
      <c r="S28" s="33"/>
    </row>
    <row r="29" spans="1:21" s="18" customFormat="1" ht="11.25" customHeight="1" x14ac:dyDescent="0.15">
      <c r="A29" s="1"/>
      <c r="B29" s="1"/>
      <c r="C29" s="1"/>
      <c r="E29" s="17"/>
      <c r="K29" s="33"/>
      <c r="L29" s="17"/>
      <c r="M29" s="17"/>
      <c r="N29" s="17"/>
      <c r="O29" s="17"/>
      <c r="P29" s="17"/>
      <c r="Q29" s="17"/>
      <c r="R29" s="17"/>
      <c r="S29" s="33"/>
    </row>
  </sheetData>
  <pageMargins left="0.75" right="0.75" top="1" bottom="1" header="0.5" footer="0.5"/>
  <pageSetup scale="53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/>
  </sheetPr>
  <dimension ref="B1:D16"/>
  <sheetViews>
    <sheetView showGridLines="0" topLeftCell="A5" zoomScale="107" workbookViewId="0">
      <selection activeCell="D11" sqref="D11"/>
    </sheetView>
  </sheetViews>
  <sheetFormatPr baseColWidth="10" defaultRowHeight="16" x14ac:dyDescent="0.2"/>
  <cols>
    <col min="1" max="1" width="2.6640625" customWidth="1"/>
    <col min="2" max="2" width="3.5" style="477" customWidth="1"/>
    <col min="3" max="3" width="12.5" bestFit="1" customWidth="1"/>
    <col min="4" max="4" width="115.83203125" bestFit="1" customWidth="1"/>
  </cols>
  <sheetData>
    <row r="1" spans="2:4" ht="9" customHeight="1" x14ac:dyDescent="0.2"/>
    <row r="2" spans="2:4" x14ac:dyDescent="0.2">
      <c r="C2" s="484" t="s">
        <v>392</v>
      </c>
      <c r="D2" s="485" t="s">
        <v>410</v>
      </c>
    </row>
    <row r="3" spans="2:4" x14ac:dyDescent="0.2">
      <c r="B3" s="481" t="s">
        <v>376</v>
      </c>
    </row>
    <row r="4" spans="2:4" ht="64" x14ac:dyDescent="0.2">
      <c r="B4" s="483" t="s">
        <v>377</v>
      </c>
      <c r="C4" s="478" t="s">
        <v>386</v>
      </c>
      <c r="D4" s="479" t="s">
        <v>412</v>
      </c>
    </row>
    <row r="5" spans="2:4" ht="32" x14ac:dyDescent="0.2">
      <c r="B5" s="483" t="s">
        <v>378</v>
      </c>
      <c r="C5" s="478" t="s">
        <v>387</v>
      </c>
      <c r="D5" s="479" t="s">
        <v>399</v>
      </c>
    </row>
    <row r="6" spans="2:4" ht="64" x14ac:dyDescent="0.2">
      <c r="B6" s="483" t="s">
        <v>379</v>
      </c>
      <c r="C6" s="478" t="s">
        <v>388</v>
      </c>
      <c r="D6" s="479" t="s">
        <v>408</v>
      </c>
    </row>
    <row r="7" spans="2:4" ht="48" x14ac:dyDescent="0.2">
      <c r="B7" s="483" t="s">
        <v>380</v>
      </c>
      <c r="C7" s="478" t="s">
        <v>389</v>
      </c>
      <c r="D7" s="479" t="s">
        <v>406</v>
      </c>
    </row>
    <row r="8" spans="2:4" x14ac:dyDescent="0.2">
      <c r="B8" s="482" t="s">
        <v>381</v>
      </c>
      <c r="C8" t="s">
        <v>390</v>
      </c>
      <c r="D8" s="479" t="s">
        <v>407</v>
      </c>
    </row>
    <row r="9" spans="2:4" ht="32" x14ac:dyDescent="0.2">
      <c r="B9" s="483" t="s">
        <v>382</v>
      </c>
      <c r="C9" s="478" t="s">
        <v>391</v>
      </c>
      <c r="D9" s="479" t="s">
        <v>409</v>
      </c>
    </row>
    <row r="10" spans="2:4" x14ac:dyDescent="0.2">
      <c r="B10" s="482" t="s">
        <v>380</v>
      </c>
      <c r="C10" t="s">
        <v>393</v>
      </c>
      <c r="D10" s="480" t="s">
        <v>400</v>
      </c>
    </row>
    <row r="11" spans="2:4" ht="64" x14ac:dyDescent="0.2">
      <c r="B11" s="483" t="s">
        <v>370</v>
      </c>
      <c r="C11" s="478" t="s">
        <v>351</v>
      </c>
      <c r="D11" s="479" t="s">
        <v>413</v>
      </c>
    </row>
    <row r="12" spans="2:4" x14ac:dyDescent="0.2">
      <c r="B12" s="482" t="s">
        <v>383</v>
      </c>
      <c r="C12" t="s">
        <v>394</v>
      </c>
      <c r="D12" s="480" t="s">
        <v>401</v>
      </c>
    </row>
    <row r="13" spans="2:4" ht="32" x14ac:dyDescent="0.2">
      <c r="B13" s="482" t="s">
        <v>384</v>
      </c>
      <c r="C13" t="s">
        <v>395</v>
      </c>
      <c r="D13" s="479" t="s">
        <v>402</v>
      </c>
    </row>
    <row r="14" spans="2:4" ht="32" x14ac:dyDescent="0.2">
      <c r="B14" s="483" t="s">
        <v>385</v>
      </c>
      <c r="C14" s="478" t="s">
        <v>396</v>
      </c>
      <c r="D14" s="479" t="s">
        <v>403</v>
      </c>
    </row>
    <row r="15" spans="2:4" ht="32" x14ac:dyDescent="0.2">
      <c r="B15" s="483" t="s">
        <v>378</v>
      </c>
      <c r="C15" s="478" t="s">
        <v>397</v>
      </c>
      <c r="D15" s="479" t="s">
        <v>404</v>
      </c>
    </row>
    <row r="16" spans="2:4" ht="64" x14ac:dyDescent="0.2">
      <c r="B16" s="483" t="s">
        <v>379</v>
      </c>
      <c r="C16" s="478" t="s">
        <v>398</v>
      </c>
      <c r="D16" s="479" t="s">
        <v>411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Assumptions - eCommerce</vt:lpstr>
      <vt:lpstr>Unit Model - eCommerce</vt:lpstr>
      <vt:lpstr>Assumptions - Store</vt:lpstr>
      <vt:lpstr>Unit Model - Store</vt:lpstr>
      <vt:lpstr>Rollout</vt:lpstr>
      <vt:lpstr>Rollup</vt:lpstr>
      <vt:lpstr>Valuation</vt:lpstr>
      <vt:lpstr>Comparables</vt:lpstr>
      <vt:lpstr>Outside Impact</vt:lpstr>
      <vt:lpstr>Pros cons of conv.</vt:lpstr>
      <vt:lpstr>Tabelle1</vt:lpstr>
    </vt:vector>
  </TitlesOfParts>
  <Company>Booth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 Admin</dc:creator>
  <cp:lastModifiedBy>Microsoft Office User</cp:lastModifiedBy>
  <dcterms:created xsi:type="dcterms:W3CDTF">2013-09-02T18:59:15Z</dcterms:created>
  <dcterms:modified xsi:type="dcterms:W3CDTF">2016-09-12T19:38:58Z</dcterms:modified>
</cp:coreProperties>
</file>