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autoCompressPictures="0"/>
  <bookViews>
    <workbookView xWindow="0" yWindow="0" windowWidth="20400" windowHeight="7755" tabRatio="500"/>
  </bookViews>
  <sheets>
    <sheet name="Question1" sheetId="6" r:id="rId1"/>
    <sheet name="Question 1" sheetId="1" state="hidden" r:id="rId2"/>
    <sheet name="Question 2" sheetId="2" r:id="rId3"/>
    <sheet name="Question 3" sheetId="3" r:id="rId4"/>
    <sheet name="Question 4" sheetId="7" r:id="rId5"/>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M43" i="7"/>
  <c r="F43"/>
  <c r="E43"/>
  <c r="D43"/>
  <c r="C43"/>
  <c r="P41"/>
  <c r="E39"/>
  <c r="E45" s="1"/>
  <c r="D39"/>
  <c r="D45" s="1"/>
  <c r="C39"/>
  <c r="C45" s="1"/>
  <c r="P37"/>
  <c r="P39" s="1"/>
  <c r="E35"/>
  <c r="F35" s="1"/>
  <c r="G35" s="1"/>
  <c r="H35" s="1"/>
  <c r="I35" s="1"/>
  <c r="J35" s="1"/>
  <c r="K35" s="1"/>
  <c r="L35" s="1"/>
  <c r="M35" s="1"/>
  <c r="D35"/>
  <c r="M27"/>
  <c r="F27"/>
  <c r="E27"/>
  <c r="D27"/>
  <c r="C27"/>
  <c r="P25"/>
  <c r="E23"/>
  <c r="E29" s="1"/>
  <c r="D23"/>
  <c r="D29" s="1"/>
  <c r="C23"/>
  <c r="C29" s="1"/>
  <c r="P21"/>
  <c r="P23" s="1"/>
  <c r="E19"/>
  <c r="F19" s="1"/>
  <c r="G19" s="1"/>
  <c r="H19" s="1"/>
  <c r="I19" s="1"/>
  <c r="J19" s="1"/>
  <c r="K19" s="1"/>
  <c r="L19" s="1"/>
  <c r="M19" s="1"/>
  <c r="D19"/>
  <c r="M12"/>
  <c r="F12"/>
  <c r="E12"/>
  <c r="D12"/>
  <c r="C12"/>
  <c r="E8"/>
  <c r="E14" s="1"/>
  <c r="D8"/>
  <c r="C8"/>
  <c r="C14" s="1"/>
  <c r="P6"/>
  <c r="P10" s="1"/>
  <c r="D4"/>
  <c r="E4" s="1"/>
  <c r="F4" s="1"/>
  <c r="G4" s="1"/>
  <c r="H4" s="1"/>
  <c r="I4" s="1"/>
  <c r="J4" s="1"/>
  <c r="K4" s="1"/>
  <c r="L4" s="1"/>
  <c r="M4" s="1"/>
  <c r="K42" l="1"/>
  <c r="K43" s="1"/>
  <c r="I42"/>
  <c r="I43" s="1"/>
  <c r="G42"/>
  <c r="G43" s="1"/>
  <c r="L42"/>
  <c r="L43" s="1"/>
  <c r="J42"/>
  <c r="J43" s="1"/>
  <c r="H42"/>
  <c r="H43" s="1"/>
  <c r="P42"/>
  <c r="K26"/>
  <c r="K27" s="1"/>
  <c r="I26"/>
  <c r="I27" s="1"/>
  <c r="G26"/>
  <c r="G27" s="1"/>
  <c r="L26"/>
  <c r="L27" s="1"/>
  <c r="J26"/>
  <c r="J27" s="1"/>
  <c r="H26"/>
  <c r="H27" s="1"/>
  <c r="P26"/>
  <c r="D14"/>
  <c r="P12"/>
  <c r="P11"/>
  <c r="P8"/>
  <c r="K38" l="1"/>
  <c r="I38"/>
  <c r="G38"/>
  <c r="G39" s="1"/>
  <c r="G45" s="1"/>
  <c r="J38"/>
  <c r="H38"/>
  <c r="F38"/>
  <c r="F39" s="1"/>
  <c r="F45" s="1"/>
  <c r="P43"/>
  <c r="K22"/>
  <c r="I22"/>
  <c r="G22"/>
  <c r="G23" s="1"/>
  <c r="G29" s="1"/>
  <c r="J22"/>
  <c r="H22"/>
  <c r="F22"/>
  <c r="F23" s="1"/>
  <c r="F29" s="1"/>
  <c r="P27"/>
  <c r="L11"/>
  <c r="L12" s="1"/>
  <c r="J11"/>
  <c r="J12" s="1"/>
  <c r="H11"/>
  <c r="H12" s="1"/>
  <c r="K11"/>
  <c r="K12" s="1"/>
  <c r="I11"/>
  <c r="I12" s="1"/>
  <c r="G11"/>
  <c r="G12" s="1"/>
  <c r="M6"/>
  <c r="M8" s="1"/>
  <c r="M14" s="1"/>
  <c r="K6"/>
  <c r="I6"/>
  <c r="L6"/>
  <c r="L8" s="1"/>
  <c r="L14" s="1"/>
  <c r="J6"/>
  <c r="H6"/>
  <c r="J7"/>
  <c r="H7"/>
  <c r="F7"/>
  <c r="F8" s="1"/>
  <c r="F14" s="1"/>
  <c r="K7"/>
  <c r="I7"/>
  <c r="G7"/>
  <c r="G8" s="1"/>
  <c r="G14" s="1"/>
  <c r="L37" l="1"/>
  <c r="L39" s="1"/>
  <c r="L45" s="1"/>
  <c r="J37"/>
  <c r="J39" s="1"/>
  <c r="J45" s="1"/>
  <c r="H37"/>
  <c r="H39" s="1"/>
  <c r="H45" s="1"/>
  <c r="C46" s="1"/>
  <c r="M37"/>
  <c r="M39" s="1"/>
  <c r="M45" s="1"/>
  <c r="K37"/>
  <c r="K39" s="1"/>
  <c r="K45" s="1"/>
  <c r="I37"/>
  <c r="I39" s="1"/>
  <c r="I45" s="1"/>
  <c r="L21"/>
  <c r="L23" s="1"/>
  <c r="L29" s="1"/>
  <c r="J21"/>
  <c r="J23" s="1"/>
  <c r="J29" s="1"/>
  <c r="H21"/>
  <c r="H23" s="1"/>
  <c r="H29" s="1"/>
  <c r="C30" s="1"/>
  <c r="M21"/>
  <c r="M23" s="1"/>
  <c r="M29" s="1"/>
  <c r="K21"/>
  <c r="K23" s="1"/>
  <c r="K29" s="1"/>
  <c r="I21"/>
  <c r="I23" s="1"/>
  <c r="I29" s="1"/>
  <c r="H8"/>
  <c r="H14" s="1"/>
  <c r="K8"/>
  <c r="K14" s="1"/>
  <c r="J8"/>
  <c r="J14" s="1"/>
  <c r="I8"/>
  <c r="I14" s="1"/>
  <c r="C15" s="1"/>
  <c r="D32" i="6" l="1"/>
  <c r="D33" s="1"/>
  <c r="G31"/>
  <c r="G32" s="1"/>
  <c r="G33" s="1"/>
  <c r="G34" s="1"/>
  <c r="F31"/>
  <c r="F32" s="1"/>
  <c r="F33" s="1"/>
  <c r="F34" s="1"/>
  <c r="E31"/>
  <c r="E32" s="1"/>
  <c r="E33" s="1"/>
  <c r="D24"/>
  <c r="D25" s="1"/>
  <c r="G23"/>
  <c r="G24" s="1"/>
  <c r="G25" s="1"/>
  <c r="G26" s="1"/>
  <c r="F23"/>
  <c r="F24" s="1"/>
  <c r="F25" s="1"/>
  <c r="F26" s="1"/>
  <c r="E23"/>
  <c r="E24" s="1"/>
  <c r="E25" s="1"/>
  <c r="D17"/>
  <c r="G16"/>
  <c r="G17" s="1"/>
  <c r="G18" s="1"/>
  <c r="D16"/>
  <c r="F15"/>
  <c r="F16" s="1"/>
  <c r="F17" s="1"/>
  <c r="F18" s="1"/>
  <c r="E15"/>
  <c r="E16" s="1"/>
  <c r="E17" s="1"/>
  <c r="K9"/>
  <c r="G8"/>
  <c r="G9" s="1"/>
  <c r="G10" s="1"/>
  <c r="F8"/>
  <c r="F9" s="1"/>
  <c r="F10" s="1"/>
  <c r="E8"/>
  <c r="E9" s="1"/>
  <c r="E10" s="1"/>
  <c r="D8"/>
  <c r="D9" s="1"/>
  <c r="E26" l="1"/>
  <c r="K11"/>
  <c r="E34"/>
  <c r="K12"/>
  <c r="L22"/>
  <c r="K22"/>
  <c r="K15"/>
  <c r="E18"/>
  <c r="K10"/>
  <c r="K23" l="1"/>
  <c r="L23"/>
  <c r="K16"/>
  <c r="K25"/>
  <c r="K18"/>
  <c r="L25"/>
  <c r="K24"/>
  <c r="L24"/>
  <c r="K17"/>
  <c r="E28" i="1"/>
  <c r="F28"/>
  <c r="D28"/>
  <c r="C27"/>
  <c r="C26"/>
  <c r="D26"/>
  <c r="C16"/>
  <c r="C15"/>
  <c r="C14"/>
  <c r="C13"/>
  <c r="G7"/>
  <c r="D7"/>
  <c r="E7"/>
  <c r="F7" s="1"/>
  <c r="G6"/>
  <c r="D6"/>
  <c r="E6"/>
  <c r="C12" i="3"/>
  <c r="D6"/>
  <c r="C9" s="1"/>
  <c r="C15"/>
  <c r="E18"/>
  <c r="E21"/>
  <c r="C18"/>
  <c r="E6"/>
  <c r="E3"/>
  <c r="H16" i="2"/>
  <c r="H17" s="1"/>
  <c r="H6"/>
  <c r="G16"/>
  <c r="G17" s="1"/>
  <c r="H7"/>
  <c r="H8"/>
  <c r="H11"/>
  <c r="H12" s="1"/>
  <c r="H13" s="1"/>
  <c r="H19" s="1"/>
  <c r="G6"/>
  <c r="G7" s="1"/>
  <c r="G8"/>
  <c r="F16"/>
  <c r="F17" s="1"/>
  <c r="F7"/>
  <c r="F8"/>
  <c r="F11" s="1"/>
  <c r="F12" s="1"/>
  <c r="F13" s="1"/>
  <c r="F19" s="1"/>
  <c r="E16"/>
  <c r="E17" s="1"/>
  <c r="E7"/>
  <c r="E8"/>
  <c r="E11" s="1"/>
  <c r="E12" s="1"/>
  <c r="E13" s="1"/>
  <c r="E19" s="1"/>
  <c r="D16"/>
  <c r="D17" s="1"/>
  <c r="D7"/>
  <c r="D8"/>
  <c r="D11" s="1"/>
  <c r="D12" s="1"/>
  <c r="D13" s="1"/>
  <c r="D19" s="1"/>
  <c r="C16"/>
  <c r="C19"/>
  <c r="F27" i="1"/>
  <c r="E27"/>
  <c r="D27"/>
  <c r="E26"/>
  <c r="F26"/>
  <c r="E9" i="3" l="1"/>
  <c r="D12"/>
  <c r="E12" s="1"/>
  <c r="G11" i="2"/>
  <c r="G12" s="1"/>
  <c r="G13" s="1"/>
  <c r="G19" s="1"/>
  <c r="C22" s="1"/>
  <c r="C21" l="1"/>
  <c r="C21" i="3"/>
  <c r="D15"/>
  <c r="E15" s="1"/>
  <c r="D18" l="1"/>
  <c r="F18" s="1"/>
  <c r="D21"/>
  <c r="F21"/>
</calcChain>
</file>

<file path=xl/sharedStrings.xml><?xml version="1.0" encoding="utf-8"?>
<sst xmlns="http://schemas.openxmlformats.org/spreadsheetml/2006/main" count="251" uniqueCount="139">
  <si>
    <t>Cash Flow Project D</t>
  </si>
  <si>
    <t>Cash Flow Project C</t>
  </si>
  <si>
    <t>Cash Flow Project B</t>
  </si>
  <si>
    <t>Cash Flow Project A</t>
  </si>
  <si>
    <t>IRR</t>
  </si>
  <si>
    <t>Yr 0</t>
  </si>
  <si>
    <t>Yr 1</t>
  </si>
  <si>
    <t>Yr 2</t>
  </si>
  <si>
    <t>Yr 3</t>
  </si>
  <si>
    <t>NPV with discount at 10%</t>
  </si>
  <si>
    <t>Timeline</t>
  </si>
  <si>
    <t>Year 1</t>
  </si>
  <si>
    <t>Year 2</t>
  </si>
  <si>
    <t>Year 3</t>
  </si>
  <si>
    <t>Year 4</t>
  </si>
  <si>
    <t>Year 5</t>
  </si>
  <si>
    <t>Sales</t>
  </si>
  <si>
    <t>Year 0</t>
  </si>
  <si>
    <t>Cost of Sales</t>
  </si>
  <si>
    <t>SGA Expenses</t>
  </si>
  <si>
    <t>Revenue</t>
  </si>
  <si>
    <t>Tax Rate</t>
  </si>
  <si>
    <t>Depreciation</t>
  </si>
  <si>
    <t>Free Cash Flow</t>
  </si>
  <si>
    <t>Introductory Expense</t>
  </si>
  <si>
    <t>Net Change in Working Capital</t>
  </si>
  <si>
    <t>Working Capital</t>
  </si>
  <si>
    <t xml:space="preserve">Net Working Capital: </t>
  </si>
  <si>
    <t>Income before tax</t>
  </si>
  <si>
    <t>After Tax Income</t>
  </si>
  <si>
    <t>Operating Cash Flow</t>
  </si>
  <si>
    <t>Capital Expenditures (Equipment)</t>
  </si>
  <si>
    <t>(In Millions)</t>
  </si>
  <si>
    <t>NPV</t>
  </si>
  <si>
    <t>A</t>
  </si>
  <si>
    <t>B</t>
  </si>
  <si>
    <t>C</t>
  </si>
  <si>
    <t>Yes because the NPV is positive and the IRR is greater than the discount rate (20%)</t>
  </si>
  <si>
    <t>Cost</t>
  </si>
  <si>
    <t>Old Equity</t>
  </si>
  <si>
    <t>Project Equity</t>
  </si>
  <si>
    <t>Total Equity</t>
  </si>
  <si>
    <t>Old Shares</t>
  </si>
  <si>
    <t>New Price</t>
  </si>
  <si>
    <t>Project Cost</t>
  </si>
  <si>
    <t>New Shares</t>
  </si>
  <si>
    <t>Total Shares</t>
  </si>
  <si>
    <t>Total Inflow Equity</t>
  </si>
  <si>
    <t>New Equity</t>
  </si>
  <si>
    <t>The total equity (or worth) of the company increases by the NPV amount (10000). Therefore, the price of stock goes up by 10 to 110. Therefore, people previously bought the stock at 100 but now the stock is worth 110 so they have an unrealized gain of 10 dollars on each stock</t>
  </si>
  <si>
    <t>1) Payback Period</t>
  </si>
  <si>
    <t>Project A</t>
  </si>
  <si>
    <t>Project B</t>
  </si>
  <si>
    <t>Project C</t>
  </si>
  <si>
    <t>Project D</t>
  </si>
  <si>
    <t>2) Accounting return on Investment</t>
  </si>
  <si>
    <t xml:space="preserve">Project B: </t>
  </si>
  <si>
    <t>Payback Period</t>
  </si>
  <si>
    <t>Fraction</t>
  </si>
  <si>
    <t>Accounting Return on Investment Ranking (best to worst): C, D, B, A</t>
  </si>
  <si>
    <t>3) Internal Rate of Return</t>
  </si>
  <si>
    <t>4) NPV</t>
  </si>
  <si>
    <t>Payback Period Ranking (shortest to longest): Project A or D, B, C</t>
  </si>
  <si>
    <t>Internal Rate of Return ranking (highest to lowest): D, C, B, A</t>
  </si>
  <si>
    <t>NPV with discount at 10 ranking (highest to lowest): C, D, B, A</t>
  </si>
  <si>
    <t>A.</t>
  </si>
  <si>
    <t>B.</t>
  </si>
  <si>
    <t>C.</t>
  </si>
  <si>
    <r>
      <t xml:space="preserve">The </t>
    </r>
    <r>
      <rPr>
        <b/>
        <sz val="12"/>
        <color theme="1"/>
        <rFont val="Calibri"/>
        <family val="2"/>
        <scheme val="minor"/>
      </rPr>
      <t>NPV</t>
    </r>
    <r>
      <rPr>
        <sz val="12"/>
        <color theme="1"/>
        <rFont val="Calibri"/>
        <family val="2"/>
        <scheme val="minor"/>
      </rPr>
      <t xml:space="preserve"> measures the present value of benefits minus present value of costs. Assumes that money is reinvested. </t>
    </r>
  </si>
  <si>
    <r>
      <t xml:space="preserve">The </t>
    </r>
    <r>
      <rPr>
        <b/>
        <sz val="12"/>
        <color theme="1"/>
        <rFont val="Calibri"/>
        <family val="2"/>
        <scheme val="minor"/>
      </rPr>
      <t>Internal Rate of Return</t>
    </r>
    <r>
      <rPr>
        <sz val="12"/>
        <color theme="1"/>
        <rFont val="Calibri"/>
        <family val="2"/>
        <scheme val="minor"/>
      </rPr>
      <t xml:space="preserve"> measures the effective return rate such that NPV is zero. Assumes that money is reinvested</t>
    </r>
  </si>
  <si>
    <r>
      <t xml:space="preserve">The </t>
    </r>
    <r>
      <rPr>
        <b/>
        <sz val="12"/>
        <color theme="1"/>
        <rFont val="Calibri"/>
        <family val="2"/>
        <scheme val="minor"/>
      </rPr>
      <t>Accounting Return on Investments</t>
    </r>
    <r>
      <rPr>
        <sz val="12"/>
        <color theme="1"/>
        <rFont val="Calibri"/>
        <family val="2"/>
        <scheme val="minor"/>
      </rPr>
      <t xml:space="preserve"> measures the average profit that can be expected from investments. It assumes that money is worth the same at any time - thereby ignoring the time value of money</t>
    </r>
  </si>
  <si>
    <t xml:space="preserve">The rankings differ because the methods of measuring focus on different aspects of the project and also make different assumptions for measuring the value of investments. </t>
  </si>
  <si>
    <r>
      <rPr>
        <b/>
        <sz val="12"/>
        <color theme="1"/>
        <rFont val="Calibri"/>
        <family val="2"/>
        <scheme val="minor"/>
      </rPr>
      <t>Payback period</t>
    </r>
    <r>
      <rPr>
        <sz val="12"/>
        <color theme="1"/>
        <rFont val="Calibri"/>
        <family val="2"/>
        <scheme val="minor"/>
      </rPr>
      <t xml:space="preserve"> measures how quickly the cash flows can a project can recoup the orginal investments into a project. Assumes that returns from investment continues after payback period.</t>
    </r>
  </si>
  <si>
    <r>
      <t xml:space="preserve">If </t>
    </r>
    <r>
      <rPr>
        <b/>
        <sz val="12"/>
        <color theme="1"/>
        <rFont val="Calibri"/>
        <family val="2"/>
        <scheme val="minor"/>
      </rPr>
      <t>independent,</t>
    </r>
    <r>
      <rPr>
        <sz val="12"/>
        <color theme="1"/>
        <rFont val="Calibri"/>
        <family val="2"/>
        <scheme val="minor"/>
      </rPr>
      <t xml:space="preserve"> choose B, C, and D because they all have positive NPV and their IRR are greater than the cost of capital</t>
    </r>
  </si>
  <si>
    <t>NPV with discount at 35 ranking (highest to lowest): D, C, B, A</t>
  </si>
  <si>
    <t>Assumptions</t>
  </si>
  <si>
    <t>Year</t>
  </si>
  <si>
    <t xml:space="preserve">Total Planes = </t>
  </si>
  <si>
    <t>t=</t>
  </si>
  <si>
    <t xml:space="preserve">Duration (years) = </t>
  </si>
  <si>
    <t>Cash Flow at delivery</t>
  </si>
  <si>
    <t xml:space="preserve">Planes per year = </t>
  </si>
  <si>
    <t>Deposits</t>
  </si>
  <si>
    <t>Cost per plane (millions) =</t>
  </si>
  <si>
    <t>Total Revenues</t>
  </si>
  <si>
    <t>Annual production cost =</t>
  </si>
  <si>
    <t xml:space="preserve">Revenue per plane (millions)= </t>
  </si>
  <si>
    <t>Initial development cost</t>
  </si>
  <si>
    <t xml:space="preserve">Annual sales = </t>
  </si>
  <si>
    <t>Annual production cost</t>
  </si>
  <si>
    <t xml:space="preserve">Cash flow for deposit = </t>
  </si>
  <si>
    <t>Total Costs</t>
  </si>
  <si>
    <t xml:space="preserve">Cash flow for sale year = </t>
  </si>
  <si>
    <t xml:space="preserve">Years received early = </t>
  </si>
  <si>
    <t>Free Cash Flows</t>
  </si>
  <si>
    <t xml:space="preserve">% deposits received= </t>
  </si>
  <si>
    <t xml:space="preserve">NPV = </t>
  </si>
  <si>
    <t xml:space="preserve">Pre-Tri Star = </t>
  </si>
  <si>
    <t>Discount rate =</t>
  </si>
  <si>
    <t>No, it was not a reasonable one because the Net Present Value of the Tri Star program was negative. They would need to sell 480 aircraft just to break even.  Assuming an optimistc 10% annual growth in air travel, Lockheed would have to capture 62% of the total free-world market of wide bodied over the next decade in order to break even. If we were to assume a more reasonable growth rate of 5%, the total world market would only be 323 aircraft, and Lockheed could not sell 480 aircraft in a market that's projected to have only 323 aircraft. I would predict that the adoption of the Tri Star program would have a negative impact on shareholder value. It would reduce shareholder value because this program would not generate a positive net income for the shareholders of the company.</t>
  </si>
  <si>
    <t>Year of Cash Flow</t>
  </si>
  <si>
    <t>Project</t>
  </si>
  <si>
    <t>Type of Cash Flow</t>
  </si>
  <si>
    <t>Payback period</t>
  </si>
  <si>
    <t>A=1 year</t>
  </si>
  <si>
    <t>Investment</t>
  </si>
  <si>
    <t>Rank High to Low: A or D, B, C</t>
  </si>
  <si>
    <t>B= 2 years</t>
  </si>
  <si>
    <t>C= 3 years</t>
  </si>
  <si>
    <t>Operating Expense</t>
  </si>
  <si>
    <t>D= 1 year</t>
  </si>
  <si>
    <t>Pre-tax Income</t>
  </si>
  <si>
    <t>Accounting return on investment</t>
  </si>
  <si>
    <t>Net Income</t>
  </si>
  <si>
    <t>A=</t>
  </si>
  <si>
    <t>Cash Flow</t>
  </si>
  <si>
    <t>B=</t>
  </si>
  <si>
    <t>C=</t>
  </si>
  <si>
    <t>D=</t>
  </si>
  <si>
    <t>Rank High to Low: C,B,D,A</t>
  </si>
  <si>
    <t xml:space="preserve">A IRR = </t>
  </si>
  <si>
    <t>Pre-Tax Income</t>
  </si>
  <si>
    <t xml:space="preserve">B IRR = </t>
  </si>
  <si>
    <t xml:space="preserve">C IRR = </t>
  </si>
  <si>
    <t xml:space="preserve">D IRR = </t>
  </si>
  <si>
    <t>Rank High to Low: D,C,B,A</t>
  </si>
  <si>
    <t>NPV (10%)</t>
  </si>
  <si>
    <t>NPV (35%)</t>
  </si>
  <si>
    <t>D</t>
  </si>
  <si>
    <t>Rank High to Low (10%): C,D,B,A</t>
  </si>
  <si>
    <t>Rank High to Low (35%): D,C,B,A</t>
  </si>
  <si>
    <t>The rankings differ because the methods of measuring focus on different aspects of the project and also make different assumptions for measuring the value of investments.</t>
  </si>
  <si>
    <t>NPV with discount at 35%</t>
  </si>
  <si>
    <r>
      <t xml:space="preserve">If </t>
    </r>
    <r>
      <rPr>
        <b/>
        <sz val="12"/>
        <color theme="1"/>
        <rFont val="Calibri"/>
        <family val="2"/>
        <scheme val="minor"/>
      </rPr>
      <t>mutually exclusive</t>
    </r>
    <r>
      <rPr>
        <sz val="12"/>
        <color theme="1"/>
        <rFont val="Calibri"/>
        <family val="2"/>
        <scheme val="minor"/>
      </rPr>
      <t>, choose D because it has the highest IRR and NPV if discount is 35%. It also has second highest for other metrics.</t>
    </r>
  </si>
  <si>
    <t>No, NPV is still negative.</t>
  </si>
  <si>
    <t>At 479 planes, we have a negative NPV. The NPV is positive at 480 planes.</t>
  </si>
  <si>
    <t>Cash Flow model of 210 planes at 14 million cost per plane. Millions of dollars.</t>
  </si>
  <si>
    <t>Cash Flow model with 300 planes at a cost of 12.5 million per plane millions of dollars</t>
  </si>
  <si>
    <t>Cash Flow model for break-even point millions of dollars</t>
  </si>
</sst>
</file>

<file path=xl/styles.xml><?xml version="1.0" encoding="utf-8"?>
<styleSheet xmlns="http://schemas.openxmlformats.org/spreadsheetml/2006/main">
  <numFmts count="9">
    <numFmt numFmtId="164" formatCode="&quot;$&quot;#,##0.00_);[Red]\(&quot;$&quot;#,##0.00\)"/>
    <numFmt numFmtId="165" formatCode="_(&quot;$&quot;* #,##0.00_);_(&quot;$&quot;* \(#,##0.00\);_(&quot;$&quot;* &quot;-&quot;??_);_(@_)"/>
    <numFmt numFmtId="166" formatCode="0.0000%"/>
    <numFmt numFmtId="167" formatCode="0.000%"/>
    <numFmt numFmtId="168" formatCode="#,##0.00000000000"/>
    <numFmt numFmtId="169" formatCode="#,##0.0000"/>
    <numFmt numFmtId="170" formatCode="&quot;$&quot;#,##0.00"/>
    <numFmt numFmtId="171" formatCode="0.0000"/>
    <numFmt numFmtId="172" formatCode="0.00000"/>
  </numFmts>
  <fonts count="11">
    <font>
      <sz val="12"/>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b/>
      <sz val="12"/>
      <color theme="1"/>
      <name val="Calibri"/>
      <family val="2"/>
      <scheme val="minor"/>
    </font>
    <font>
      <b/>
      <sz val="12"/>
      <color rgb="FF000000"/>
      <name val="Calibri"/>
      <family val="2"/>
      <scheme val="minor"/>
    </font>
    <font>
      <sz val="18"/>
      <color theme="1"/>
      <name val="Calibri"/>
      <scheme val="minor"/>
    </font>
    <font>
      <sz val="12"/>
      <color theme="1"/>
      <name val="Calibri"/>
      <family val="2"/>
      <scheme val="minor"/>
    </font>
    <font>
      <b/>
      <sz val="11"/>
      <color theme="1"/>
      <name val="Calibri"/>
      <family val="2"/>
      <scheme val="minor"/>
    </font>
  </fonts>
  <fills count="8">
    <fill>
      <patternFill patternType="none"/>
    </fill>
    <fill>
      <patternFill patternType="gray125"/>
    </fill>
    <fill>
      <patternFill patternType="solid">
        <fgColor theme="8"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59999389629810485"/>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 fillId="0" borderId="0"/>
    <xf numFmtId="9" fontId="9" fillId="0" borderId="0" applyFont="0" applyFill="0" applyBorder="0" applyAlignment="0" applyProtection="0"/>
  </cellStyleXfs>
  <cellXfs count="123">
    <xf numFmtId="0" fontId="0" fillId="0" borderId="0" xfId="0"/>
    <xf numFmtId="3" fontId="0" fillId="0" borderId="0" xfId="0" applyNumberFormat="1"/>
    <xf numFmtId="166" fontId="0" fillId="0" borderId="0" xfId="0" applyNumberFormat="1"/>
    <xf numFmtId="3" fontId="5" fillId="0" borderId="0" xfId="0" applyNumberFormat="1" applyFont="1"/>
    <xf numFmtId="0" fontId="5" fillId="0" borderId="0" xfId="0" applyFont="1"/>
    <xf numFmtId="166" fontId="5" fillId="0" borderId="0" xfId="0" applyNumberFormat="1" applyFont="1"/>
    <xf numFmtId="167" fontId="5" fillId="0" borderId="0" xfId="0" applyNumberFormat="1" applyFont="1"/>
    <xf numFmtId="9" fontId="5" fillId="0" borderId="0" xfId="0" applyNumberFormat="1" applyFont="1"/>
    <xf numFmtId="164" fontId="5" fillId="0" borderId="0" xfId="0" applyNumberFormat="1" applyFont="1"/>
    <xf numFmtId="169" fontId="5" fillId="0" borderId="0" xfId="0" applyNumberFormat="1" applyFont="1"/>
    <xf numFmtId="170" fontId="5" fillId="0" borderId="0" xfId="0" applyNumberFormat="1" applyFont="1"/>
    <xf numFmtId="9" fontId="0" fillId="0" borderId="0" xfId="0" applyNumberFormat="1"/>
    <xf numFmtId="2" fontId="0" fillId="0" borderId="0" xfId="0" applyNumberFormat="1"/>
    <xf numFmtId="172" fontId="0" fillId="0" borderId="0" xfId="0" applyNumberFormat="1"/>
    <xf numFmtId="0" fontId="0" fillId="0" borderId="0" xfId="0" applyAlignment="1">
      <alignment horizontal="left"/>
    </xf>
    <xf numFmtId="0" fontId="0" fillId="0" borderId="0" xfId="0" applyAlignment="1">
      <alignment horizontal="right"/>
    </xf>
    <xf numFmtId="0" fontId="6" fillId="2" borderId="0" xfId="0" applyFont="1" applyFill="1" applyAlignment="1">
      <alignment horizontal="left"/>
    </xf>
    <xf numFmtId="0" fontId="0" fillId="0" borderId="0" xfId="0" applyAlignment="1">
      <alignment wrapText="1"/>
    </xf>
    <xf numFmtId="0" fontId="6" fillId="0" borderId="0" xfId="0" applyFont="1"/>
    <xf numFmtId="0" fontId="7" fillId="0" borderId="0" xfId="0" applyFont="1"/>
    <xf numFmtId="0" fontId="8" fillId="0" borderId="0" xfId="0" applyFont="1"/>
    <xf numFmtId="2" fontId="5" fillId="0" borderId="0" xfId="0" applyNumberFormat="1" applyFont="1"/>
    <xf numFmtId="168" fontId="0" fillId="0" borderId="0" xfId="0" applyNumberFormat="1"/>
    <xf numFmtId="0" fontId="0" fillId="3" borderId="0" xfId="0" applyFill="1"/>
    <xf numFmtId="0" fontId="5" fillId="3" borderId="0" xfId="0" applyFont="1" applyFill="1"/>
    <xf numFmtId="3" fontId="5" fillId="3" borderId="0" xfId="0" applyNumberFormat="1" applyFont="1" applyFill="1"/>
    <xf numFmtId="166" fontId="5" fillId="3" borderId="0" xfId="0" applyNumberFormat="1" applyFont="1" applyFill="1"/>
    <xf numFmtId="0" fontId="0" fillId="0" borderId="4" xfId="0" applyBorder="1"/>
    <xf numFmtId="0" fontId="0" fillId="0" borderId="0" xfId="0" applyBorder="1"/>
    <xf numFmtId="0" fontId="0" fillId="0" borderId="5" xfId="0" applyBorder="1"/>
    <xf numFmtId="0" fontId="0" fillId="0" borderId="7" xfId="0" applyBorder="1"/>
    <xf numFmtId="0" fontId="0" fillId="0" borderId="8" xfId="0" applyBorder="1"/>
    <xf numFmtId="0" fontId="0" fillId="5" borderId="1" xfId="0" applyFill="1" applyBorder="1"/>
    <xf numFmtId="0" fontId="0" fillId="5" borderId="2" xfId="0" applyFill="1" applyBorder="1"/>
    <xf numFmtId="0" fontId="0" fillId="5" borderId="3" xfId="0" applyFill="1" applyBorder="1"/>
    <xf numFmtId="0" fontId="0" fillId="0" borderId="6" xfId="0" applyBorder="1"/>
    <xf numFmtId="0" fontId="6" fillId="0" borderId="0" xfId="0" applyFont="1" applyAlignment="1">
      <alignment horizontal="left"/>
    </xf>
    <xf numFmtId="0" fontId="6" fillId="0" borderId="0" xfId="0" applyFont="1" applyAlignment="1">
      <alignment wrapText="1"/>
    </xf>
    <xf numFmtId="171" fontId="0" fillId="5" borderId="2" xfId="0" applyNumberFormat="1" applyFill="1" applyBorder="1"/>
    <xf numFmtId="171" fontId="0" fillId="5" borderId="3" xfId="0" applyNumberFormat="1" applyFill="1" applyBorder="1"/>
    <xf numFmtId="0" fontId="0" fillId="6" borderId="9" xfId="0" applyFill="1" applyBorder="1"/>
    <xf numFmtId="0" fontId="0" fillId="6" borderId="10" xfId="0" applyFill="1" applyBorder="1"/>
    <xf numFmtId="0" fontId="0" fillId="6" borderId="12" xfId="0" applyFill="1" applyBorder="1"/>
    <xf numFmtId="171" fontId="0" fillId="0" borderId="0" xfId="0" applyNumberFormat="1" applyBorder="1"/>
    <xf numFmtId="171" fontId="0" fillId="0" borderId="5" xfId="0" applyNumberFormat="1" applyBorder="1"/>
    <xf numFmtId="0" fontId="0" fillId="0" borderId="4" xfId="0" applyFill="1" applyBorder="1"/>
    <xf numFmtId="171" fontId="0" fillId="0" borderId="0" xfId="0" applyNumberFormat="1" applyFill="1" applyBorder="1"/>
    <xf numFmtId="171" fontId="0" fillId="0" borderId="5" xfId="0" applyNumberFormat="1" applyFill="1" applyBorder="1"/>
    <xf numFmtId="0" fontId="2" fillId="4" borderId="9" xfId="35" applyFill="1" applyBorder="1"/>
    <xf numFmtId="0" fontId="2" fillId="4" borderId="10" xfId="35" applyFill="1" applyBorder="1"/>
    <xf numFmtId="0" fontId="2" fillId="0" borderId="0" xfId="35"/>
    <xf numFmtId="0" fontId="2" fillId="7" borderId="1" xfId="35" applyFill="1" applyBorder="1"/>
    <xf numFmtId="0" fontId="2" fillId="7" borderId="2" xfId="35" applyFill="1" applyBorder="1"/>
    <xf numFmtId="0" fontId="2" fillId="7" borderId="3" xfId="35" applyFill="1" applyBorder="1"/>
    <xf numFmtId="0" fontId="2" fillId="0" borderId="9" xfId="35" applyFill="1" applyBorder="1"/>
    <xf numFmtId="0" fontId="2" fillId="0" borderId="9" xfId="35" applyBorder="1"/>
    <xf numFmtId="0" fontId="2" fillId="0" borderId="12" xfId="35" applyBorder="1"/>
    <xf numFmtId="0" fontId="2" fillId="0" borderId="10" xfId="35" applyBorder="1"/>
    <xf numFmtId="165" fontId="2" fillId="0" borderId="10" xfId="35" applyNumberFormat="1" applyBorder="1"/>
    <xf numFmtId="165" fontId="2" fillId="0" borderId="12" xfId="35" applyNumberFormat="1" applyBorder="1"/>
    <xf numFmtId="0" fontId="2" fillId="0" borderId="4" xfId="35" applyBorder="1"/>
    <xf numFmtId="0" fontId="2" fillId="0" borderId="5" xfId="35" applyBorder="1"/>
    <xf numFmtId="0" fontId="2" fillId="0" borderId="0" xfId="35" applyBorder="1"/>
    <xf numFmtId="165" fontId="2" fillId="0" borderId="0" xfId="35" applyNumberFormat="1" applyBorder="1"/>
    <xf numFmtId="165" fontId="2" fillId="0" borderId="5" xfId="35" applyNumberFormat="1" applyBorder="1"/>
    <xf numFmtId="0" fontId="2" fillId="0" borderId="6" xfId="35" applyBorder="1"/>
    <xf numFmtId="0" fontId="2" fillId="0" borderId="8" xfId="35" applyBorder="1"/>
    <xf numFmtId="0" fontId="2" fillId="0" borderId="0" xfId="35" applyFill="1" applyBorder="1"/>
    <xf numFmtId="0" fontId="2" fillId="5" borderId="7" xfId="35" applyFill="1" applyBorder="1"/>
    <xf numFmtId="165" fontId="2" fillId="5" borderId="7" xfId="35" applyNumberFormat="1" applyFill="1" applyBorder="1"/>
    <xf numFmtId="165" fontId="2" fillId="5" borderId="8" xfId="35" applyNumberFormat="1" applyFill="1" applyBorder="1"/>
    <xf numFmtId="0" fontId="2" fillId="0" borderId="7" xfId="35" applyBorder="1"/>
    <xf numFmtId="9" fontId="2" fillId="0" borderId="12" xfId="35" applyNumberFormat="1" applyBorder="1"/>
    <xf numFmtId="9" fontId="2" fillId="0" borderId="5" xfId="35" applyNumberFormat="1" applyBorder="1"/>
    <xf numFmtId="0" fontId="2" fillId="0" borderId="11" xfId="35" applyBorder="1"/>
    <xf numFmtId="0" fontId="2" fillId="0" borderId="11" xfId="35" applyBorder="1" applyAlignment="1">
      <alignment horizontal="center"/>
    </xf>
    <xf numFmtId="165" fontId="2" fillId="0" borderId="11" xfId="35" applyNumberFormat="1" applyBorder="1"/>
    <xf numFmtId="0" fontId="2" fillId="0" borderId="0" xfId="35" applyAlignment="1"/>
    <xf numFmtId="0" fontId="2" fillId="0" borderId="0" xfId="35" applyAlignment="1">
      <alignment vertical="top"/>
    </xf>
    <xf numFmtId="0" fontId="2" fillId="0" borderId="0" xfId="35" applyAlignment="1">
      <alignment wrapText="1"/>
    </xf>
    <xf numFmtId="0" fontId="1" fillId="0" borderId="0" xfId="35" applyFont="1"/>
    <xf numFmtId="0" fontId="0" fillId="0" borderId="1" xfId="0" applyBorder="1" applyAlignment="1"/>
    <xf numFmtId="0" fontId="0" fillId="0" borderId="3" xfId="0" applyBorder="1" applyAlignment="1"/>
    <xf numFmtId="0" fontId="0" fillId="0" borderId="3" xfId="0" applyBorder="1"/>
    <xf numFmtId="0" fontId="0" fillId="4" borderId="1" xfId="0" applyFill="1" applyBorder="1"/>
    <xf numFmtId="0" fontId="0" fillId="4" borderId="2" xfId="0" applyFill="1" applyBorder="1"/>
    <xf numFmtId="0" fontId="0" fillId="4" borderId="3" xfId="0" applyFill="1" applyBorder="1"/>
    <xf numFmtId="0" fontId="0" fillId="4" borderId="0" xfId="0" applyFill="1"/>
    <xf numFmtId="0" fontId="0" fillId="4" borderId="4" xfId="0" applyFill="1" applyBorder="1"/>
    <xf numFmtId="0" fontId="0" fillId="4" borderId="5" xfId="0" applyFill="1" applyBorder="1"/>
    <xf numFmtId="2" fontId="0" fillId="0" borderId="0" xfId="0" applyNumberFormat="1" applyBorder="1"/>
    <xf numFmtId="2" fontId="0" fillId="0" borderId="5" xfId="0" applyNumberFormat="1" applyBorder="1"/>
    <xf numFmtId="0" fontId="0" fillId="0" borderId="6" xfId="0" applyFill="1" applyBorder="1"/>
    <xf numFmtId="2" fontId="0" fillId="0" borderId="7" xfId="0" applyNumberFormat="1" applyBorder="1"/>
    <xf numFmtId="2" fontId="0" fillId="5" borderId="2" xfId="0" applyNumberFormat="1" applyFill="1" applyBorder="1"/>
    <xf numFmtId="2" fontId="0" fillId="5" borderId="3" xfId="0" applyNumberFormat="1" applyFill="1" applyBorder="1"/>
    <xf numFmtId="0" fontId="0" fillId="3" borderId="9" xfId="0" applyFill="1" applyBorder="1"/>
    <xf numFmtId="0" fontId="0" fillId="3" borderId="10" xfId="0" applyFill="1" applyBorder="1"/>
    <xf numFmtId="0" fontId="0" fillId="3" borderId="2" xfId="0" applyFill="1" applyBorder="1"/>
    <xf numFmtId="2" fontId="0" fillId="3" borderId="2" xfId="0" applyNumberFormat="1" applyFill="1" applyBorder="1"/>
    <xf numFmtId="2" fontId="0" fillId="3" borderId="3" xfId="0" applyNumberFormat="1" applyFill="1" applyBorder="1"/>
    <xf numFmtId="9" fontId="0" fillId="0" borderId="5" xfId="36" applyFont="1" applyBorder="1"/>
    <xf numFmtId="0" fontId="10" fillId="0" borderId="16" xfId="0" applyFont="1" applyBorder="1"/>
    <xf numFmtId="164" fontId="0" fillId="0" borderId="17" xfId="0" applyNumberFormat="1" applyBorder="1"/>
    <xf numFmtId="9" fontId="0" fillId="0" borderId="8" xfId="36" applyFont="1" applyBorder="1"/>
    <xf numFmtId="0" fontId="0" fillId="0" borderId="0" xfId="0" applyFill="1" applyBorder="1"/>
    <xf numFmtId="0" fontId="0" fillId="0" borderId="0" xfId="0" applyAlignment="1">
      <alignment vertical="top" wrapText="1"/>
    </xf>
    <xf numFmtId="0" fontId="0" fillId="0" borderId="0" xfId="0" applyAlignment="1">
      <alignment vertical="center"/>
    </xf>
    <xf numFmtId="0" fontId="2" fillId="0" borderId="1" xfId="35" applyBorder="1" applyAlignment="1">
      <alignment horizontal="center"/>
    </xf>
    <xf numFmtId="0" fontId="2" fillId="0" borderId="2" xfId="35" applyBorder="1" applyAlignment="1">
      <alignment horizontal="center"/>
    </xf>
    <xf numFmtId="0" fontId="2" fillId="0" borderId="3" xfId="35" applyBorder="1" applyAlignment="1">
      <alignment horizontal="center"/>
    </xf>
    <xf numFmtId="0" fontId="2" fillId="0" borderId="13" xfId="35" applyBorder="1" applyAlignment="1">
      <alignment horizontal="center" vertical="center"/>
    </xf>
    <xf numFmtId="0" fontId="2" fillId="0" borderId="14" xfId="35" applyBorder="1" applyAlignment="1">
      <alignment horizontal="center" vertical="center"/>
    </xf>
    <xf numFmtId="0" fontId="2" fillId="0" borderId="15" xfId="35" applyBorder="1" applyAlignment="1">
      <alignment horizontal="center" vertical="center"/>
    </xf>
    <xf numFmtId="0" fontId="2" fillId="0" borderId="13" xfId="35" applyFill="1" applyBorder="1" applyAlignment="1">
      <alignment horizontal="center" vertical="center"/>
    </xf>
    <xf numFmtId="0" fontId="2" fillId="0" borderId="14" xfId="35" applyFill="1" applyBorder="1" applyAlignment="1">
      <alignment horizontal="center" vertical="center"/>
    </xf>
    <xf numFmtId="0" fontId="2" fillId="0" borderId="15" xfId="35" applyFill="1" applyBorder="1" applyAlignment="1">
      <alignment horizontal="center" vertical="center"/>
    </xf>
    <xf numFmtId="0" fontId="2" fillId="4" borderId="1" xfId="35" applyFill="1" applyBorder="1" applyAlignment="1">
      <alignment horizontal="center"/>
    </xf>
    <xf numFmtId="0" fontId="2" fillId="4" borderId="2" xfId="35" applyFill="1" applyBorder="1" applyAlignment="1">
      <alignment horizontal="center"/>
    </xf>
    <xf numFmtId="0" fontId="2" fillId="4" borderId="3" xfId="35" applyFill="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cellXfs>
  <cellStyles count="3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Normal" xfId="0" builtinId="0"/>
    <cellStyle name="Normal 2" xfId="35"/>
    <cellStyle name="Percent" xfId="36"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dimension ref="B2:L44"/>
  <sheetViews>
    <sheetView tabSelected="1" workbookViewId="0">
      <selection activeCell="H25" sqref="H25"/>
    </sheetView>
  </sheetViews>
  <sheetFormatPr defaultRowHeight="15"/>
  <cols>
    <col min="1" max="2" width="9" style="50"/>
    <col min="3" max="3" width="15.75" style="50" bestFit="1" customWidth="1"/>
    <col min="4" max="5" width="10.75" style="50" bestFit="1" customWidth="1"/>
    <col min="6" max="6" width="10.125" style="50" bestFit="1" customWidth="1"/>
    <col min="7" max="7" width="10.75" style="50" bestFit="1" customWidth="1"/>
    <col min="8" max="9" width="9" style="50"/>
    <col min="10" max="10" width="27" style="50" bestFit="1" customWidth="1"/>
    <col min="11" max="11" width="9.25" style="50" bestFit="1" customWidth="1"/>
    <col min="12" max="12" width="9.875" style="50" bestFit="1" customWidth="1"/>
    <col min="13" max="16384" width="9" style="50"/>
  </cols>
  <sheetData>
    <row r="2" spans="2:11">
      <c r="B2" s="48"/>
      <c r="C2" s="49"/>
      <c r="D2" s="108" t="s">
        <v>100</v>
      </c>
      <c r="E2" s="109"/>
      <c r="F2" s="109"/>
      <c r="G2" s="110"/>
      <c r="I2" s="50" t="s">
        <v>34</v>
      </c>
    </row>
    <row r="3" spans="2:11">
      <c r="B3" s="51" t="s">
        <v>101</v>
      </c>
      <c r="C3" s="52" t="s">
        <v>102</v>
      </c>
      <c r="D3" s="52">
        <v>0</v>
      </c>
      <c r="E3" s="52">
        <v>1</v>
      </c>
      <c r="F3" s="52">
        <v>2</v>
      </c>
      <c r="G3" s="53">
        <v>3</v>
      </c>
      <c r="I3" s="54">
        <v>1</v>
      </c>
      <c r="J3" s="55" t="s">
        <v>103</v>
      </c>
      <c r="K3" s="56" t="s">
        <v>104</v>
      </c>
    </row>
    <row r="4" spans="2:11">
      <c r="B4" s="114" t="s">
        <v>34</v>
      </c>
      <c r="C4" s="57" t="s">
        <v>105</v>
      </c>
      <c r="D4" s="58">
        <v>-10000</v>
      </c>
      <c r="E4" s="58"/>
      <c r="F4" s="58"/>
      <c r="G4" s="59"/>
      <c r="I4" s="60"/>
      <c r="J4" s="60" t="s">
        <v>106</v>
      </c>
      <c r="K4" s="61" t="s">
        <v>107</v>
      </c>
    </row>
    <row r="5" spans="2:11">
      <c r="B5" s="115"/>
      <c r="C5" s="62" t="s">
        <v>20</v>
      </c>
      <c r="D5" s="63"/>
      <c r="E5" s="63">
        <v>21000</v>
      </c>
      <c r="F5" s="63"/>
      <c r="G5" s="64"/>
      <c r="I5" s="60"/>
      <c r="J5" s="60"/>
      <c r="K5" s="61" t="s">
        <v>108</v>
      </c>
    </row>
    <row r="6" spans="2:11">
      <c r="B6" s="115"/>
      <c r="C6" s="62" t="s">
        <v>109</v>
      </c>
      <c r="D6" s="63"/>
      <c r="E6" s="63">
        <v>-11000</v>
      </c>
      <c r="F6" s="63"/>
      <c r="G6" s="64"/>
      <c r="I6" s="65"/>
      <c r="J6" s="65"/>
      <c r="K6" s="66" t="s">
        <v>110</v>
      </c>
    </row>
    <row r="7" spans="2:11">
      <c r="B7" s="115"/>
      <c r="C7" s="67" t="s">
        <v>22</v>
      </c>
      <c r="D7" s="63"/>
      <c r="E7" s="63">
        <v>-10000</v>
      </c>
      <c r="F7" s="63"/>
      <c r="G7" s="64"/>
    </row>
    <row r="8" spans="2:11">
      <c r="B8" s="115"/>
      <c r="C8" s="62" t="s">
        <v>111</v>
      </c>
      <c r="D8" s="63">
        <f>D4+D5+D6+D7</f>
        <v>-10000</v>
      </c>
      <c r="E8" s="63">
        <f t="shared" ref="E8:G8" si="0">E4+E5+E6+E7</f>
        <v>0</v>
      </c>
      <c r="F8" s="63">
        <f t="shared" si="0"/>
        <v>0</v>
      </c>
      <c r="G8" s="64">
        <f t="shared" si="0"/>
        <v>0</v>
      </c>
      <c r="I8" s="55">
        <v>2</v>
      </c>
      <c r="J8" s="57" t="s">
        <v>112</v>
      </c>
      <c r="K8" s="56"/>
    </row>
    <row r="9" spans="2:11">
      <c r="B9" s="115"/>
      <c r="C9" s="67" t="s">
        <v>113</v>
      </c>
      <c r="D9" s="63">
        <f>D8*(0.6)</f>
        <v>-6000</v>
      </c>
      <c r="E9" s="63">
        <f>E8*(0.6)</f>
        <v>0</v>
      </c>
      <c r="F9" s="63">
        <f t="shared" ref="F9:G9" si="1">F8*(0.6)</f>
        <v>0</v>
      </c>
      <c r="G9" s="64">
        <f t="shared" si="1"/>
        <v>0</v>
      </c>
      <c r="I9" s="60"/>
      <c r="J9" s="62" t="s">
        <v>114</v>
      </c>
      <c r="K9" s="64">
        <f>0</f>
        <v>0</v>
      </c>
    </row>
    <row r="10" spans="2:11">
      <c r="B10" s="116"/>
      <c r="C10" s="68" t="s">
        <v>115</v>
      </c>
      <c r="D10" s="69">
        <v>-10000</v>
      </c>
      <c r="E10" s="69">
        <f>E9-E7</f>
        <v>10000</v>
      </c>
      <c r="F10" s="69">
        <f t="shared" ref="F10:G10" si="2">F9-F7</f>
        <v>0</v>
      </c>
      <c r="G10" s="70">
        <f t="shared" si="2"/>
        <v>0</v>
      </c>
      <c r="I10" s="60"/>
      <c r="J10" s="62" t="s">
        <v>116</v>
      </c>
      <c r="K10" s="64">
        <f>((E17+F17)/2)/5000</f>
        <v>0.50003999999999993</v>
      </c>
    </row>
    <row r="11" spans="2:11">
      <c r="B11" s="108"/>
      <c r="C11" s="109"/>
      <c r="D11" s="109"/>
      <c r="E11" s="109"/>
      <c r="F11" s="109"/>
      <c r="G11" s="110"/>
      <c r="I11" s="60"/>
      <c r="J11" s="62" t="s">
        <v>117</v>
      </c>
      <c r="K11" s="64">
        <f>((E25+F25+G25)/3)/5000</f>
        <v>0.60003999999999991</v>
      </c>
    </row>
    <row r="12" spans="2:11">
      <c r="B12" s="111" t="s">
        <v>35</v>
      </c>
      <c r="C12" s="57" t="s">
        <v>105</v>
      </c>
      <c r="D12" s="58">
        <v>-10000</v>
      </c>
      <c r="E12" s="58"/>
      <c r="F12" s="58"/>
      <c r="G12" s="59"/>
      <c r="I12" s="60"/>
      <c r="J12" s="62" t="s">
        <v>118</v>
      </c>
      <c r="K12" s="64">
        <f>((E33+F33+G33)/3)/5000</f>
        <v>0.46671999999999997</v>
      </c>
    </row>
    <row r="13" spans="2:11">
      <c r="B13" s="112"/>
      <c r="C13" s="62" t="s">
        <v>20</v>
      </c>
      <c r="D13" s="63"/>
      <c r="E13" s="63">
        <v>15000</v>
      </c>
      <c r="F13" s="63">
        <v>17000</v>
      </c>
      <c r="G13" s="64"/>
      <c r="I13" s="65"/>
      <c r="J13" s="71" t="s">
        <v>119</v>
      </c>
      <c r="K13" s="66"/>
    </row>
    <row r="14" spans="2:11">
      <c r="B14" s="112"/>
      <c r="C14" s="62" t="s">
        <v>109</v>
      </c>
      <c r="D14" s="63"/>
      <c r="E14" s="63">
        <v>-5833</v>
      </c>
      <c r="F14" s="63">
        <v>-7833</v>
      </c>
      <c r="G14" s="64"/>
    </row>
    <row r="15" spans="2:11">
      <c r="B15" s="112"/>
      <c r="C15" s="67" t="s">
        <v>22</v>
      </c>
      <c r="D15" s="63"/>
      <c r="E15" s="63">
        <f>$D$12/2</f>
        <v>-5000</v>
      </c>
      <c r="F15" s="63">
        <f t="shared" ref="F15" si="3">$D$12/2</f>
        <v>-5000</v>
      </c>
      <c r="G15" s="64"/>
      <c r="I15" s="55">
        <v>3</v>
      </c>
      <c r="J15" s="57" t="s">
        <v>120</v>
      </c>
      <c r="K15" s="72">
        <f xml:space="preserve"> IRR(D10:E10,)</f>
        <v>0</v>
      </c>
    </row>
    <row r="16" spans="2:11">
      <c r="B16" s="112"/>
      <c r="C16" s="62" t="s">
        <v>121</v>
      </c>
      <c r="D16" s="63">
        <f>D12+D13+D14+D15</f>
        <v>-10000</v>
      </c>
      <c r="E16" s="63">
        <f t="shared" ref="E16:G16" si="4">E12+E13+E14+E15</f>
        <v>4167</v>
      </c>
      <c r="F16" s="63">
        <f t="shared" si="4"/>
        <v>4167</v>
      </c>
      <c r="G16" s="64">
        <f t="shared" si="4"/>
        <v>0</v>
      </c>
      <c r="I16" s="60"/>
      <c r="J16" s="62" t="s">
        <v>122</v>
      </c>
      <c r="K16" s="73">
        <f>IRR(D18:F18)</f>
        <v>0.31875387420528445</v>
      </c>
    </row>
    <row r="17" spans="2:12">
      <c r="B17" s="112"/>
      <c r="C17" s="67" t="s">
        <v>113</v>
      </c>
      <c r="D17" s="63">
        <f>D16*(0.6)</f>
        <v>-6000</v>
      </c>
      <c r="E17" s="63">
        <f t="shared" ref="E17:G17" si="5">E16*(0.6)</f>
        <v>2500.1999999999998</v>
      </c>
      <c r="F17" s="63">
        <f t="shared" si="5"/>
        <v>2500.1999999999998</v>
      </c>
      <c r="G17" s="64">
        <f t="shared" si="5"/>
        <v>0</v>
      </c>
      <c r="I17" s="60"/>
      <c r="J17" s="62" t="s">
        <v>123</v>
      </c>
      <c r="K17" s="73">
        <f xml:space="preserve"> IRR(D26:G26)</f>
        <v>0.33531839905568694</v>
      </c>
    </row>
    <row r="18" spans="2:12">
      <c r="B18" s="113"/>
      <c r="C18" s="68" t="s">
        <v>115</v>
      </c>
      <c r="D18" s="69">
        <v>-10000</v>
      </c>
      <c r="E18" s="69">
        <f>E17-E15</f>
        <v>7500.2</v>
      </c>
      <c r="F18" s="69">
        <f t="shared" ref="F18:G18" si="6">F17-F15</f>
        <v>7500.2</v>
      </c>
      <c r="G18" s="70">
        <f t="shared" si="6"/>
        <v>0</v>
      </c>
      <c r="I18" s="60"/>
      <c r="J18" s="62" t="s">
        <v>124</v>
      </c>
      <c r="K18" s="73">
        <f xml:space="preserve"> IRR(D34:G34)</f>
        <v>0.42749581718952734</v>
      </c>
    </row>
    <row r="19" spans="2:12">
      <c r="B19" s="117"/>
      <c r="C19" s="118"/>
      <c r="D19" s="118"/>
      <c r="E19" s="118"/>
      <c r="F19" s="118"/>
      <c r="G19" s="119"/>
      <c r="I19" s="65"/>
      <c r="J19" s="71" t="s">
        <v>125</v>
      </c>
      <c r="K19" s="66"/>
    </row>
    <row r="20" spans="2:12">
      <c r="B20" s="111" t="s">
        <v>36</v>
      </c>
      <c r="C20" s="57" t="s">
        <v>105</v>
      </c>
      <c r="D20" s="58">
        <v>-10000</v>
      </c>
      <c r="E20" s="58"/>
      <c r="F20" s="58"/>
      <c r="G20" s="59"/>
    </row>
    <row r="21" spans="2:12">
      <c r="B21" s="112"/>
      <c r="C21" s="62" t="s">
        <v>20</v>
      </c>
      <c r="D21" s="63"/>
      <c r="E21" s="63">
        <v>10000</v>
      </c>
      <c r="F21" s="63">
        <v>11000</v>
      </c>
      <c r="G21" s="64">
        <v>30000</v>
      </c>
      <c r="I21" s="55">
        <v>4</v>
      </c>
      <c r="J21" s="74"/>
      <c r="K21" s="75" t="s">
        <v>126</v>
      </c>
      <c r="L21" s="75" t="s">
        <v>127</v>
      </c>
    </row>
    <row r="22" spans="2:12">
      <c r="B22" s="112"/>
      <c r="C22" s="62" t="s">
        <v>109</v>
      </c>
      <c r="D22" s="63"/>
      <c r="E22" s="63">
        <v>-5555</v>
      </c>
      <c r="F22" s="63">
        <v>-4889</v>
      </c>
      <c r="G22" s="64">
        <v>-15555</v>
      </c>
      <c r="I22" s="60"/>
      <c r="J22" s="74" t="s">
        <v>34</v>
      </c>
      <c r="K22" s="76">
        <f>NPV(0.1,E10) +D10</f>
        <v>-909.09090909090992</v>
      </c>
      <c r="L22" s="76">
        <f>NPV(0.35,E10)+D10</f>
        <v>-2592.5925925925931</v>
      </c>
    </row>
    <row r="23" spans="2:12">
      <c r="B23" s="112"/>
      <c r="C23" s="67" t="s">
        <v>22</v>
      </c>
      <c r="D23" s="63"/>
      <c r="E23" s="63">
        <f>$D$20/3</f>
        <v>-3333.3333333333335</v>
      </c>
      <c r="F23" s="63">
        <f t="shared" ref="F23:G23" si="7">$D$20/3</f>
        <v>-3333.3333333333335</v>
      </c>
      <c r="G23" s="64">
        <f t="shared" si="7"/>
        <v>-3333.3333333333335</v>
      </c>
      <c r="I23" s="60"/>
      <c r="J23" s="74" t="s">
        <v>35</v>
      </c>
      <c r="K23" s="76">
        <f>NPV(0.1,E18,F18)+D18</f>
        <v>3016.8760330578498</v>
      </c>
      <c r="L23" s="76">
        <f>NPV(0.35,E18,F18)+D18</f>
        <v>-328.96021947873851</v>
      </c>
    </row>
    <row r="24" spans="2:12">
      <c r="B24" s="112"/>
      <c r="C24" s="62" t="s">
        <v>121</v>
      </c>
      <c r="D24" s="63">
        <f>D20+D21+D22+D23</f>
        <v>-10000</v>
      </c>
      <c r="E24" s="63">
        <f t="shared" ref="E24:G24" si="8">E20+E21+E22+E23</f>
        <v>1111.6666666666665</v>
      </c>
      <c r="F24" s="63">
        <f t="shared" si="8"/>
        <v>2777.6666666666665</v>
      </c>
      <c r="G24" s="64">
        <f t="shared" si="8"/>
        <v>11111.666666666666</v>
      </c>
      <c r="I24" s="60"/>
      <c r="J24" s="74" t="s">
        <v>36</v>
      </c>
      <c r="K24" s="76">
        <f>NPV(0.1,E26,F26,G26)+D26</f>
        <v>5282.2414224893528</v>
      </c>
      <c r="L24" s="76">
        <f>NPV(0.35,E26,F26,G26)+D26</f>
        <v>-228.78592355501678</v>
      </c>
    </row>
    <row r="25" spans="2:12">
      <c r="B25" s="112"/>
      <c r="C25" s="67" t="s">
        <v>113</v>
      </c>
      <c r="D25" s="63">
        <f>D24*(0.6)</f>
        <v>-6000</v>
      </c>
      <c r="E25" s="63">
        <f t="shared" ref="E25:G25" si="9">E24*(0.6)</f>
        <v>666.99999999999989</v>
      </c>
      <c r="F25" s="63">
        <f t="shared" si="9"/>
        <v>1666.6</v>
      </c>
      <c r="G25" s="64">
        <f t="shared" si="9"/>
        <v>6666.9999999999991</v>
      </c>
      <c r="I25" s="60"/>
      <c r="J25" s="74" t="s">
        <v>128</v>
      </c>
      <c r="K25" s="76">
        <f>NPV(0.1,E34,F34,G34)+D34</f>
        <v>4651.317305284243</v>
      </c>
      <c r="L25" s="76">
        <f>NPV(0.35,E34,F34,G34)+D34</f>
        <v>822.00511439651564</v>
      </c>
    </row>
    <row r="26" spans="2:12">
      <c r="B26" s="113"/>
      <c r="C26" s="68" t="s">
        <v>115</v>
      </c>
      <c r="D26" s="69">
        <v>-10000</v>
      </c>
      <c r="E26" s="69">
        <f>E25-E23</f>
        <v>4000.3333333333335</v>
      </c>
      <c r="F26" s="69">
        <f t="shared" ref="F26:G26" si="10">F25-F23</f>
        <v>4999.9333333333334</v>
      </c>
      <c r="G26" s="70">
        <f t="shared" si="10"/>
        <v>10000.333333333332</v>
      </c>
      <c r="I26" s="60"/>
      <c r="J26" s="62"/>
      <c r="K26" s="62"/>
      <c r="L26" s="61"/>
    </row>
    <row r="27" spans="2:12">
      <c r="B27" s="108"/>
      <c r="C27" s="109"/>
      <c r="D27" s="109"/>
      <c r="E27" s="109"/>
      <c r="F27" s="109"/>
      <c r="G27" s="110"/>
      <c r="I27" s="60"/>
      <c r="J27" s="62" t="s">
        <v>129</v>
      </c>
      <c r="K27" s="62"/>
      <c r="L27" s="61"/>
    </row>
    <row r="28" spans="2:12">
      <c r="B28" s="111" t="s">
        <v>128</v>
      </c>
      <c r="C28" s="57" t="s">
        <v>105</v>
      </c>
      <c r="D28" s="58">
        <v>-10000</v>
      </c>
      <c r="E28" s="58"/>
      <c r="F28" s="58"/>
      <c r="G28" s="59"/>
      <c r="I28" s="65"/>
      <c r="J28" s="71" t="s">
        <v>130</v>
      </c>
      <c r="K28" s="71"/>
      <c r="L28" s="66"/>
    </row>
    <row r="29" spans="2:12">
      <c r="B29" s="112"/>
      <c r="C29" s="62" t="s">
        <v>20</v>
      </c>
      <c r="D29" s="63"/>
      <c r="E29" s="63">
        <v>30000</v>
      </c>
      <c r="F29" s="63">
        <v>10000</v>
      </c>
      <c r="G29" s="64">
        <v>5000</v>
      </c>
    </row>
    <row r="30" spans="2:12">
      <c r="B30" s="112"/>
      <c r="C30" s="62" t="s">
        <v>109</v>
      </c>
      <c r="D30" s="63"/>
      <c r="E30" s="63">
        <v>-15555</v>
      </c>
      <c r="F30" s="63">
        <v>-5555</v>
      </c>
      <c r="G30" s="64">
        <v>-2222</v>
      </c>
      <c r="J30" s="77"/>
    </row>
    <row r="31" spans="2:12">
      <c r="B31" s="112"/>
      <c r="C31" s="67" t="s">
        <v>22</v>
      </c>
      <c r="D31" s="63"/>
      <c r="E31" s="63">
        <f>$D$28/3</f>
        <v>-3333.3333333333335</v>
      </c>
      <c r="F31" s="63">
        <f t="shared" ref="F31:G31" si="11">$D$28/3</f>
        <v>-3333.3333333333335</v>
      </c>
      <c r="G31" s="64">
        <f t="shared" si="11"/>
        <v>-3333.3333333333335</v>
      </c>
    </row>
    <row r="32" spans="2:12">
      <c r="B32" s="112"/>
      <c r="C32" s="62" t="s">
        <v>121</v>
      </c>
      <c r="D32" s="63">
        <f>SUM(D28:D30)</f>
        <v>-10000</v>
      </c>
      <c r="E32" s="63">
        <f>SUM(E28:E31)</f>
        <v>11111.666666666666</v>
      </c>
      <c r="F32" s="63">
        <f t="shared" ref="F32:G32" si="12">SUM(F28:F31)</f>
        <v>1111.6666666666665</v>
      </c>
      <c r="G32" s="64">
        <f t="shared" si="12"/>
        <v>-555.33333333333348</v>
      </c>
    </row>
    <row r="33" spans="2:10">
      <c r="B33" s="112"/>
      <c r="C33" s="67" t="s">
        <v>113</v>
      </c>
      <c r="D33" s="63">
        <f>D32*(0.6)</f>
        <v>-6000</v>
      </c>
      <c r="E33" s="63">
        <f t="shared" ref="E33:G33" si="13">E32*(0.6)</f>
        <v>6666.9999999999991</v>
      </c>
      <c r="F33" s="63">
        <f t="shared" si="13"/>
        <v>666.99999999999989</v>
      </c>
      <c r="G33" s="64">
        <f t="shared" si="13"/>
        <v>-333.2000000000001</v>
      </c>
    </row>
    <row r="34" spans="2:10">
      <c r="B34" s="113"/>
      <c r="C34" s="68" t="s">
        <v>115</v>
      </c>
      <c r="D34" s="69">
        <v>-10000</v>
      </c>
      <c r="E34" s="69">
        <f>E33-E31</f>
        <v>10000.333333333332</v>
      </c>
      <c r="F34" s="69">
        <f t="shared" ref="F34:G34" si="14">F33-F31</f>
        <v>4000.3333333333335</v>
      </c>
      <c r="G34" s="70">
        <f t="shared" si="14"/>
        <v>3000.1333333333332</v>
      </c>
    </row>
    <row r="36" spans="2:10" ht="90">
      <c r="I36" s="78" t="s">
        <v>35</v>
      </c>
      <c r="J36" s="79" t="s">
        <v>131</v>
      </c>
    </row>
    <row r="38" spans="2:10" ht="15.75">
      <c r="J38" s="77" t="s">
        <v>72</v>
      </c>
    </row>
    <row r="39" spans="2:10" ht="15.75">
      <c r="J39" s="77" t="s">
        <v>70</v>
      </c>
    </row>
    <row r="40" spans="2:10" ht="15.75">
      <c r="J40" s="77" t="s">
        <v>69</v>
      </c>
    </row>
    <row r="41" spans="2:10" ht="15.75">
      <c r="J41" s="77" t="s">
        <v>68</v>
      </c>
    </row>
    <row r="43" spans="2:10" ht="15.75">
      <c r="I43" s="50" t="s">
        <v>36</v>
      </c>
      <c r="J43" s="80" t="s">
        <v>73</v>
      </c>
    </row>
    <row r="44" spans="2:10" ht="15.75">
      <c r="J44" s="80" t="s">
        <v>133</v>
      </c>
    </row>
  </sheetData>
  <mergeCells count="8">
    <mergeCell ref="B27:G27"/>
    <mergeCell ref="B28:B34"/>
    <mergeCell ref="D2:G2"/>
    <mergeCell ref="B4:B10"/>
    <mergeCell ref="B11:G11"/>
    <mergeCell ref="B12:B18"/>
    <mergeCell ref="B19:G19"/>
    <mergeCell ref="B20:B26"/>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H44"/>
  <sheetViews>
    <sheetView topLeftCell="A31" workbookViewId="0">
      <selection activeCell="C44" sqref="C44"/>
    </sheetView>
  </sheetViews>
  <sheetFormatPr defaultColWidth="11" defaultRowHeight="15.75"/>
  <cols>
    <col min="1" max="1" width="32.875" customWidth="1"/>
    <col min="2" max="2" width="26" customWidth="1"/>
    <col min="3" max="4" width="20.625" customWidth="1"/>
    <col min="5" max="5" width="21" customWidth="1"/>
    <col min="6" max="7" width="24.375" customWidth="1"/>
    <col min="8" max="8" width="15.5" customWidth="1"/>
  </cols>
  <sheetData>
    <row r="1" spans="1:8" ht="23.25">
      <c r="A1" s="20" t="s">
        <v>65</v>
      </c>
    </row>
    <row r="2" spans="1:8" ht="23.25">
      <c r="A2" s="20"/>
    </row>
    <row r="3" spans="1:8">
      <c r="A3" s="18" t="s">
        <v>50</v>
      </c>
      <c r="H3" s="4"/>
    </row>
    <row r="4" spans="1:8">
      <c r="B4" s="23"/>
      <c r="C4" s="23" t="s">
        <v>17</v>
      </c>
      <c r="D4" s="23" t="s">
        <v>11</v>
      </c>
      <c r="E4" s="23" t="s">
        <v>12</v>
      </c>
      <c r="F4" s="23" t="s">
        <v>13</v>
      </c>
      <c r="G4" s="23" t="s">
        <v>58</v>
      </c>
      <c r="H4" s="24" t="s">
        <v>57</v>
      </c>
    </row>
    <row r="5" spans="1:8">
      <c r="B5" s="23" t="s">
        <v>51</v>
      </c>
      <c r="C5" s="1">
        <v>-10000</v>
      </c>
      <c r="D5" s="1">
        <v>10000</v>
      </c>
      <c r="G5">
        <v>0</v>
      </c>
      <c r="H5" s="4">
        <v>1</v>
      </c>
    </row>
    <row r="6" spans="1:8">
      <c r="A6" s="1"/>
      <c r="B6" s="23" t="s">
        <v>56</v>
      </c>
      <c r="C6" s="1">
        <v>-10000</v>
      </c>
      <c r="D6" s="1">
        <f>7500+C6</f>
        <v>-2500</v>
      </c>
      <c r="E6" s="1">
        <f>7500+D6</f>
        <v>5000</v>
      </c>
      <c r="G6">
        <f>2500/7500</f>
        <v>0.33333333333333331</v>
      </c>
      <c r="H6" s="4">
        <v>1.33</v>
      </c>
    </row>
    <row r="7" spans="1:8">
      <c r="A7" s="1"/>
      <c r="B7" s="23" t="s">
        <v>53</v>
      </c>
      <c r="C7" s="1">
        <v>-10000</v>
      </c>
      <c r="D7" s="1">
        <f>4000+C7</f>
        <v>-6000</v>
      </c>
      <c r="E7" s="1">
        <f>D7+5000</f>
        <v>-1000</v>
      </c>
      <c r="F7" s="1">
        <f>10000+E7</f>
        <v>9000</v>
      </c>
      <c r="G7">
        <f>1000/9000</f>
        <v>0.1111111111111111</v>
      </c>
      <c r="H7" s="4">
        <v>2.11</v>
      </c>
    </row>
    <row r="8" spans="1:8">
      <c r="B8" s="23" t="s">
        <v>54</v>
      </c>
      <c r="C8" s="1">
        <v>-10000</v>
      </c>
      <c r="D8" s="1">
        <v>10000</v>
      </c>
      <c r="G8">
        <v>0</v>
      </c>
      <c r="H8" s="4">
        <v>1</v>
      </c>
    </row>
    <row r="9" spans="1:8">
      <c r="A9" s="2"/>
      <c r="H9" s="4"/>
    </row>
    <row r="10" spans="1:8">
      <c r="A10" s="2"/>
      <c r="B10" t="s">
        <v>62</v>
      </c>
      <c r="H10" s="4"/>
    </row>
    <row r="11" spans="1:8">
      <c r="A11" s="2"/>
      <c r="H11" s="4"/>
    </row>
    <row r="12" spans="1:8">
      <c r="A12" s="19" t="s">
        <v>55</v>
      </c>
      <c r="H12" s="4"/>
    </row>
    <row r="13" spans="1:8">
      <c r="B13" s="23" t="s">
        <v>51</v>
      </c>
      <c r="C13">
        <f>10000*(0.6)/(10000/2)</f>
        <v>1.2</v>
      </c>
      <c r="H13" s="4"/>
    </row>
    <row r="14" spans="1:8">
      <c r="B14" s="23" t="s">
        <v>52</v>
      </c>
      <c r="C14">
        <f>(9167+9167)*(1-0.4)/(10000/2)</f>
        <v>2.2000799999999998</v>
      </c>
    </row>
    <row r="15" spans="1:8">
      <c r="B15" s="23" t="s">
        <v>53</v>
      </c>
      <c r="C15">
        <f>(4445+6111+14445)*(1-0.4)/(10000/2)</f>
        <v>3.0001199999999999</v>
      </c>
    </row>
    <row r="16" spans="1:8">
      <c r="B16" s="23" t="s">
        <v>54</v>
      </c>
      <c r="C16">
        <f>(14445+4445+2778)*(1-0.4)/5000</f>
        <v>2.6001599999999998</v>
      </c>
    </row>
    <row r="18" spans="1:7">
      <c r="B18" t="s">
        <v>59</v>
      </c>
    </row>
    <row r="20" spans="1:7">
      <c r="B20" s="23"/>
      <c r="C20" s="24" t="s">
        <v>3</v>
      </c>
      <c r="D20" s="24" t="s">
        <v>2</v>
      </c>
      <c r="E20" s="24" t="s">
        <v>1</v>
      </c>
      <c r="F20" s="24" t="s">
        <v>0</v>
      </c>
    </row>
    <row r="21" spans="1:7">
      <c r="B21" s="25" t="s">
        <v>5</v>
      </c>
      <c r="C21" s="3">
        <v>-10000</v>
      </c>
      <c r="D21" s="3">
        <v>-10000</v>
      </c>
      <c r="E21" s="3">
        <v>-10000</v>
      </c>
      <c r="F21" s="3">
        <v>-10000</v>
      </c>
    </row>
    <row r="22" spans="1:7">
      <c r="B22" s="24" t="s">
        <v>6</v>
      </c>
      <c r="C22" s="3">
        <v>10000</v>
      </c>
      <c r="D22" s="4">
        <v>7500.2</v>
      </c>
      <c r="E22" s="4">
        <v>4000.3319999999999</v>
      </c>
      <c r="F22" s="4">
        <v>10000.32</v>
      </c>
    </row>
    <row r="23" spans="1:7">
      <c r="B23" s="24" t="s">
        <v>7</v>
      </c>
      <c r="C23" s="4">
        <v>0</v>
      </c>
      <c r="D23" s="4">
        <v>7500.2</v>
      </c>
      <c r="E23" s="4">
        <v>4999.93</v>
      </c>
      <c r="F23" s="4">
        <v>4000.3319999999999</v>
      </c>
    </row>
    <row r="24" spans="1:7">
      <c r="B24" s="26" t="s">
        <v>8</v>
      </c>
      <c r="C24" s="21">
        <v>0</v>
      </c>
      <c r="D24" s="21">
        <v>0</v>
      </c>
      <c r="E24" s="4">
        <v>10000.332</v>
      </c>
      <c r="F24" s="4">
        <v>3000.1320000000001</v>
      </c>
    </row>
    <row r="25" spans="1:7">
      <c r="B25" s="4"/>
      <c r="C25" s="4"/>
      <c r="D25" s="4"/>
      <c r="E25" s="5"/>
      <c r="F25" s="6"/>
      <c r="G25" s="4"/>
    </row>
    <row r="26" spans="1:7">
      <c r="A26" s="18" t="s">
        <v>60</v>
      </c>
      <c r="B26" s="26" t="s">
        <v>4</v>
      </c>
      <c r="C26" s="7">
        <f>IRR(C21:C24)</f>
        <v>0</v>
      </c>
      <c r="D26" s="5">
        <f>IRR(D21:D24)</f>
        <v>0.31875387420528445</v>
      </c>
      <c r="E26" s="5">
        <f>IRR(E21:E24)</f>
        <v>0.33531818318504558</v>
      </c>
      <c r="F26" s="5">
        <f>IRR(F21:F24)</f>
        <v>0.42749475332037079</v>
      </c>
      <c r="G26" s="3"/>
    </row>
    <row r="27" spans="1:7">
      <c r="A27" s="18" t="s">
        <v>61</v>
      </c>
      <c r="B27" s="24" t="s">
        <v>9</v>
      </c>
      <c r="C27" s="8">
        <f>NPV(10%,C22)+C21</f>
        <v>-909.09090909090992</v>
      </c>
      <c r="D27" s="8">
        <f>NPV(10%,D22:D23)+D21</f>
        <v>3016.8760330578498</v>
      </c>
      <c r="E27" s="9">
        <f>NPV(10%,E22:E24)+E21</f>
        <v>5282.2364537941376</v>
      </c>
      <c r="F27" s="10">
        <f>NPV(10%,F22:F24)+F21</f>
        <v>4651.3030803906822</v>
      </c>
      <c r="G27" s="4"/>
    </row>
    <row r="28" spans="1:7">
      <c r="B28" s="26" t="s">
        <v>132</v>
      </c>
      <c r="C28" s="8">
        <v>-2592.5925925925899</v>
      </c>
      <c r="D28" s="8">
        <f>NPV(35%,D22:D24)+D21</f>
        <v>-328.96021947873851</v>
      </c>
      <c r="E28" s="8">
        <f t="shared" ref="E28:F28" si="0">NPV(35%,E22:E24)+E21</f>
        <v>-228.78928212162828</v>
      </c>
      <c r="F28" s="8">
        <f t="shared" si="0"/>
        <v>821.99396433470247</v>
      </c>
      <c r="G28" s="4"/>
    </row>
    <row r="29" spans="1:7">
      <c r="C29" s="22"/>
      <c r="G29" s="4"/>
    </row>
    <row r="30" spans="1:7">
      <c r="B30" t="s">
        <v>63</v>
      </c>
      <c r="G30" s="6"/>
    </row>
    <row r="31" spans="1:7">
      <c r="B31" t="s">
        <v>64</v>
      </c>
      <c r="G31" s="5"/>
    </row>
    <row r="32" spans="1:7">
      <c r="B32" t="s">
        <v>74</v>
      </c>
      <c r="G32" s="10"/>
    </row>
    <row r="33" spans="1:7">
      <c r="G33" s="10"/>
    </row>
    <row r="34" spans="1:7" ht="23.25">
      <c r="A34" s="20" t="s">
        <v>66</v>
      </c>
    </row>
    <row r="35" spans="1:7">
      <c r="B35" t="s">
        <v>71</v>
      </c>
    </row>
    <row r="37" spans="1:7">
      <c r="B37" t="s">
        <v>72</v>
      </c>
    </row>
    <row r="38" spans="1:7">
      <c r="B38" t="s">
        <v>70</v>
      </c>
    </row>
    <row r="39" spans="1:7">
      <c r="B39" t="s">
        <v>69</v>
      </c>
    </row>
    <row r="40" spans="1:7">
      <c r="B40" t="s">
        <v>68</v>
      </c>
    </row>
    <row r="42" spans="1:7" ht="23.25">
      <c r="A42" s="20" t="s">
        <v>67</v>
      </c>
    </row>
    <row r="43" spans="1:7">
      <c r="B43" t="s">
        <v>73</v>
      </c>
    </row>
    <row r="44" spans="1:7">
      <c r="B44" t="s">
        <v>133</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J24"/>
  <sheetViews>
    <sheetView topLeftCell="A13" workbookViewId="0">
      <selection activeCell="B24" sqref="B24"/>
    </sheetView>
  </sheetViews>
  <sheetFormatPr defaultColWidth="11" defaultRowHeight="15.75"/>
  <cols>
    <col min="1" max="1" width="18.875" customWidth="1"/>
    <col min="2" max="2" width="31.875" customWidth="1"/>
    <col min="3" max="3" width="18" bestFit="1" customWidth="1"/>
  </cols>
  <sheetData>
    <row r="1" spans="1:10">
      <c r="A1" t="s">
        <v>10</v>
      </c>
    </row>
    <row r="2" spans="1:10">
      <c r="A2" t="s">
        <v>21</v>
      </c>
      <c r="B2" s="11">
        <v>0.4</v>
      </c>
    </row>
    <row r="3" spans="1:10">
      <c r="A3" t="s">
        <v>27</v>
      </c>
      <c r="B3" s="11">
        <v>0.27</v>
      </c>
    </row>
    <row r="4" spans="1:10">
      <c r="B4" s="11"/>
    </row>
    <row r="5" spans="1:10">
      <c r="B5" s="40"/>
      <c r="C5" s="41" t="s">
        <v>17</v>
      </c>
      <c r="D5" s="41" t="s">
        <v>11</v>
      </c>
      <c r="E5" s="41" t="s">
        <v>12</v>
      </c>
      <c r="F5" s="41" t="s">
        <v>13</v>
      </c>
      <c r="G5" s="41" t="s">
        <v>14</v>
      </c>
      <c r="H5" s="42" t="s">
        <v>15</v>
      </c>
    </row>
    <row r="6" spans="1:10">
      <c r="A6" t="s">
        <v>34</v>
      </c>
      <c r="B6" s="32" t="s">
        <v>16</v>
      </c>
      <c r="C6" s="38">
        <v>0</v>
      </c>
      <c r="D6" s="38">
        <v>10</v>
      </c>
      <c r="E6" s="38">
        <v>13</v>
      </c>
      <c r="F6" s="38">
        <v>13</v>
      </c>
      <c r="G6" s="38">
        <f>13*(2/3)</f>
        <v>8.6666666666666661</v>
      </c>
      <c r="H6" s="39">
        <f>13*(1/3)</f>
        <v>4.333333333333333</v>
      </c>
      <c r="J6" t="s">
        <v>32</v>
      </c>
    </row>
    <row r="7" spans="1:10">
      <c r="B7" s="27" t="s">
        <v>18</v>
      </c>
      <c r="C7" s="43"/>
      <c r="D7" s="43">
        <f>0.6*D6</f>
        <v>6</v>
      </c>
      <c r="E7" s="43">
        <f t="shared" ref="E7:H7" si="0">0.6*E6</f>
        <v>7.8</v>
      </c>
      <c r="F7" s="43">
        <f t="shared" si="0"/>
        <v>7.8</v>
      </c>
      <c r="G7" s="43">
        <f t="shared" si="0"/>
        <v>5.1999999999999993</v>
      </c>
      <c r="H7" s="44">
        <f t="shared" si="0"/>
        <v>2.5999999999999996</v>
      </c>
    </row>
    <row r="8" spans="1:10">
      <c r="B8" s="27" t="s">
        <v>19</v>
      </c>
      <c r="C8" s="43"/>
      <c r="D8" s="43">
        <f>23.5%*D6</f>
        <v>2.3499999999999996</v>
      </c>
      <c r="E8" s="43">
        <f>23.5%*E6</f>
        <v>3.0549999999999997</v>
      </c>
      <c r="F8" s="43">
        <f>23.5%*F6</f>
        <v>3.0549999999999997</v>
      </c>
      <c r="G8" s="43">
        <f>23.5%*G6</f>
        <v>2.0366666666666666</v>
      </c>
      <c r="H8" s="44">
        <f>23.5%*H6</f>
        <v>1.0183333333333333</v>
      </c>
    </row>
    <row r="9" spans="1:10">
      <c r="B9" s="27" t="s">
        <v>24</v>
      </c>
      <c r="C9" s="43"/>
      <c r="D9" s="43">
        <v>0.2</v>
      </c>
      <c r="E9" s="43">
        <v>0</v>
      </c>
      <c r="F9" s="43">
        <v>0</v>
      </c>
      <c r="G9" s="43">
        <v>0</v>
      </c>
      <c r="H9" s="44">
        <v>0</v>
      </c>
    </row>
    <row r="10" spans="1:10">
      <c r="B10" s="27" t="s">
        <v>22</v>
      </c>
      <c r="C10" s="43"/>
      <c r="D10" s="43">
        <v>0.1</v>
      </c>
      <c r="E10" s="43">
        <v>0.1</v>
      </c>
      <c r="F10" s="43">
        <v>0.1</v>
      </c>
      <c r="G10" s="43">
        <v>0.1</v>
      </c>
      <c r="H10" s="44">
        <v>0.1</v>
      </c>
    </row>
    <row r="11" spans="1:10">
      <c r="B11" s="45" t="s">
        <v>28</v>
      </c>
      <c r="C11" s="46"/>
      <c r="D11" s="46">
        <f>D6-D7-D8-D9-D10</f>
        <v>1.3500000000000003</v>
      </c>
      <c r="E11" s="46">
        <f t="shared" ref="E11:H11" si="1">E6-E7-E8-E9-E10</f>
        <v>2.0450000000000004</v>
      </c>
      <c r="F11" s="46">
        <f t="shared" si="1"/>
        <v>2.0450000000000004</v>
      </c>
      <c r="G11" s="46">
        <f t="shared" si="1"/>
        <v>1.33</v>
      </c>
      <c r="H11" s="47">
        <f t="shared" si="1"/>
        <v>0.6150000000000001</v>
      </c>
    </row>
    <row r="12" spans="1:10">
      <c r="B12" s="32" t="s">
        <v>29</v>
      </c>
      <c r="C12" s="38"/>
      <c r="D12" s="38">
        <f>D11*(1-$B$2)</f>
        <v>0.81000000000000016</v>
      </c>
      <c r="E12" s="38">
        <f t="shared" ref="E12:H12" si="2">E11*(1-$B$2)</f>
        <v>1.2270000000000001</v>
      </c>
      <c r="F12" s="38">
        <f t="shared" si="2"/>
        <v>1.2270000000000001</v>
      </c>
      <c r="G12" s="38">
        <f t="shared" si="2"/>
        <v>0.79800000000000004</v>
      </c>
      <c r="H12" s="39">
        <f t="shared" si="2"/>
        <v>0.36900000000000005</v>
      </c>
    </row>
    <row r="13" spans="1:10">
      <c r="B13" s="27" t="s">
        <v>30</v>
      </c>
      <c r="C13" s="43">
        <v>0</v>
      </c>
      <c r="D13" s="43">
        <f>D12+D10</f>
        <v>0.91000000000000014</v>
      </c>
      <c r="E13" s="43">
        <f t="shared" ref="E13:H13" si="3">E12+E10</f>
        <v>1.3270000000000002</v>
      </c>
      <c r="F13" s="43">
        <f t="shared" si="3"/>
        <v>1.3270000000000002</v>
      </c>
      <c r="G13" s="43">
        <f t="shared" si="3"/>
        <v>0.89800000000000002</v>
      </c>
      <c r="H13" s="44">
        <f t="shared" si="3"/>
        <v>0.46900000000000008</v>
      </c>
    </row>
    <row r="14" spans="1:10">
      <c r="B14" s="27"/>
      <c r="C14" s="43"/>
      <c r="D14" s="43"/>
      <c r="E14" s="43"/>
      <c r="F14" s="43"/>
      <c r="G14" s="43"/>
      <c r="H14" s="44"/>
    </row>
    <row r="15" spans="1:10">
      <c r="B15" s="27" t="s">
        <v>31</v>
      </c>
      <c r="C15" s="43">
        <v>-0.5</v>
      </c>
      <c r="D15" s="43">
        <v>0</v>
      </c>
      <c r="E15" s="43">
        <v>0</v>
      </c>
      <c r="F15" s="43">
        <v>0</v>
      </c>
      <c r="G15" s="43">
        <v>0</v>
      </c>
      <c r="H15" s="44">
        <v>0</v>
      </c>
    </row>
    <row r="16" spans="1:10">
      <c r="B16" s="27" t="s">
        <v>26</v>
      </c>
      <c r="C16" s="43">
        <f t="shared" ref="C16:H16" si="4">$B$3*D6</f>
        <v>2.7</v>
      </c>
      <c r="D16" s="43">
        <f t="shared" si="4"/>
        <v>3.5100000000000002</v>
      </c>
      <c r="E16" s="43">
        <f t="shared" si="4"/>
        <v>3.5100000000000002</v>
      </c>
      <c r="F16" s="43">
        <f t="shared" si="4"/>
        <v>2.34</v>
      </c>
      <c r="G16" s="43">
        <f t="shared" si="4"/>
        <v>1.17</v>
      </c>
      <c r="H16" s="44">
        <f t="shared" si="4"/>
        <v>0</v>
      </c>
    </row>
    <row r="17" spans="1:8">
      <c r="B17" s="27" t="s">
        <v>25</v>
      </c>
      <c r="C17" s="43">
        <v>2.7</v>
      </c>
      <c r="D17" s="43">
        <f>D16-C16</f>
        <v>0.81</v>
      </c>
      <c r="E17" s="43">
        <f t="shared" ref="E17:H17" si="5">E16-D16</f>
        <v>0</v>
      </c>
      <c r="F17" s="43">
        <f t="shared" si="5"/>
        <v>-1.1700000000000004</v>
      </c>
      <c r="G17" s="43">
        <f t="shared" si="5"/>
        <v>-1.17</v>
      </c>
      <c r="H17" s="44">
        <f t="shared" si="5"/>
        <v>-1.17</v>
      </c>
    </row>
    <row r="18" spans="1:8">
      <c r="B18" s="27"/>
      <c r="C18" s="43"/>
      <c r="D18" s="43"/>
      <c r="E18" s="43"/>
      <c r="F18" s="43"/>
      <c r="G18" s="43"/>
      <c r="H18" s="44"/>
    </row>
    <row r="19" spans="1:8">
      <c r="B19" s="32" t="s">
        <v>23</v>
      </c>
      <c r="C19" s="38">
        <f>C13+C15-C17</f>
        <v>-3.2</v>
      </c>
      <c r="D19" s="38">
        <f>D13-D17</f>
        <v>0.10000000000000009</v>
      </c>
      <c r="E19" s="38">
        <f t="shared" ref="E19:H19" si="6">E13-E17</f>
        <v>1.3270000000000002</v>
      </c>
      <c r="F19" s="38">
        <f t="shared" si="6"/>
        <v>2.4970000000000008</v>
      </c>
      <c r="G19" s="38">
        <f t="shared" si="6"/>
        <v>2.0680000000000001</v>
      </c>
      <c r="H19" s="39">
        <f t="shared" si="6"/>
        <v>1.639</v>
      </c>
    </row>
    <row r="21" spans="1:8">
      <c r="A21" t="s">
        <v>35</v>
      </c>
      <c r="B21" t="s">
        <v>33</v>
      </c>
      <c r="C21" s="13">
        <f>NPV(20%,D19:H19)+C19</f>
        <v>0.90586098251028879</v>
      </c>
      <c r="D21" s="12"/>
    </row>
    <row r="22" spans="1:8">
      <c r="B22" t="s">
        <v>4</v>
      </c>
      <c r="C22" s="2">
        <f>IRR(C19:H19)</f>
        <v>0.29545265765818418</v>
      </c>
    </row>
    <row r="24" spans="1:8">
      <c r="A24" t="s">
        <v>36</v>
      </c>
      <c r="B24" t="s">
        <v>37</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F23"/>
  <sheetViews>
    <sheetView topLeftCell="A19" workbookViewId="0">
      <selection activeCell="K23" sqref="K23"/>
    </sheetView>
  </sheetViews>
  <sheetFormatPr defaultColWidth="11" defaultRowHeight="15.75"/>
  <cols>
    <col min="1" max="1" width="2.375" bestFit="1" customWidth="1"/>
    <col min="3" max="3" width="30.625" customWidth="1"/>
    <col min="4" max="4" width="12.875" bestFit="1" customWidth="1"/>
    <col min="5" max="5" width="17" bestFit="1" customWidth="1"/>
  </cols>
  <sheetData>
    <row r="1" spans="1:6">
      <c r="A1" s="14">
        <v>3</v>
      </c>
      <c r="C1" s="14"/>
      <c r="D1" s="14"/>
      <c r="E1" s="14"/>
      <c r="F1" s="14"/>
    </row>
    <row r="2" spans="1:6">
      <c r="A2" s="15" t="s">
        <v>34</v>
      </c>
      <c r="C2" s="16" t="s">
        <v>20</v>
      </c>
      <c r="D2" s="16" t="s">
        <v>38</v>
      </c>
      <c r="E2" s="16" t="s">
        <v>33</v>
      </c>
      <c r="F2" s="14"/>
    </row>
    <row r="3" spans="1:6">
      <c r="C3" s="14">
        <v>210000</v>
      </c>
      <c r="D3" s="14">
        <v>110000</v>
      </c>
      <c r="E3" s="36">
        <f>C3-D3</f>
        <v>100000</v>
      </c>
      <c r="F3" s="14"/>
    </row>
    <row r="4" spans="1:6">
      <c r="C4" s="14"/>
      <c r="D4" s="14"/>
      <c r="E4" s="14"/>
      <c r="F4" s="14"/>
    </row>
    <row r="5" spans="1:6">
      <c r="A5" s="15" t="s">
        <v>35</v>
      </c>
      <c r="C5" s="16" t="s">
        <v>39</v>
      </c>
      <c r="D5" s="16" t="s">
        <v>40</v>
      </c>
      <c r="E5" s="16" t="s">
        <v>41</v>
      </c>
      <c r="F5" s="14"/>
    </row>
    <row r="6" spans="1:6">
      <c r="C6" s="14">
        <v>1000000</v>
      </c>
      <c r="D6" s="14">
        <f>C3-D3</f>
        <v>100000</v>
      </c>
      <c r="E6" s="14">
        <f>C6+D6</f>
        <v>1100000</v>
      </c>
      <c r="F6" s="14"/>
    </row>
    <row r="7" spans="1:6">
      <c r="C7" s="14"/>
      <c r="D7" s="14"/>
      <c r="E7" s="14"/>
      <c r="F7" s="14"/>
    </row>
    <row r="8" spans="1:6">
      <c r="C8" s="16" t="s">
        <v>41</v>
      </c>
      <c r="D8" s="16" t="s">
        <v>42</v>
      </c>
      <c r="E8" s="16" t="s">
        <v>43</v>
      </c>
      <c r="F8" s="14"/>
    </row>
    <row r="9" spans="1:6">
      <c r="C9" s="14">
        <f>C6+D6</f>
        <v>1100000</v>
      </c>
      <c r="D9" s="14">
        <v>10000</v>
      </c>
      <c r="E9" s="36">
        <f>C9/D9</f>
        <v>110</v>
      </c>
      <c r="F9" s="14"/>
    </row>
    <row r="10" spans="1:6">
      <c r="C10" s="14"/>
      <c r="D10" s="14"/>
      <c r="E10" s="14"/>
      <c r="F10" s="14"/>
    </row>
    <row r="11" spans="1:6">
      <c r="C11" s="16" t="s">
        <v>44</v>
      </c>
      <c r="D11" s="16" t="s">
        <v>43</v>
      </c>
      <c r="E11" s="16" t="s">
        <v>45</v>
      </c>
      <c r="F11" s="14"/>
    </row>
    <row r="12" spans="1:6">
      <c r="C12" s="14">
        <f>D3</f>
        <v>110000</v>
      </c>
      <c r="D12" s="14">
        <f>C9/D9</f>
        <v>110</v>
      </c>
      <c r="E12" s="36">
        <f>C12/D12</f>
        <v>1000</v>
      </c>
      <c r="F12" s="14"/>
    </row>
    <row r="13" spans="1:6">
      <c r="C13" s="14"/>
      <c r="D13" s="14"/>
      <c r="E13" s="14"/>
      <c r="F13" s="14"/>
    </row>
    <row r="14" spans="1:6">
      <c r="A14" s="15" t="s">
        <v>36</v>
      </c>
      <c r="C14" s="16" t="s">
        <v>42</v>
      </c>
      <c r="D14" s="16" t="s">
        <v>45</v>
      </c>
      <c r="E14" s="16" t="s">
        <v>46</v>
      </c>
      <c r="F14" s="14"/>
    </row>
    <row r="15" spans="1:6">
      <c r="C15" s="14">
        <f>D9</f>
        <v>10000</v>
      </c>
      <c r="D15" s="14">
        <f>E12</f>
        <v>1000</v>
      </c>
      <c r="E15" s="14">
        <f>C15+D15</f>
        <v>11000</v>
      </c>
      <c r="F15" s="14"/>
    </row>
    <row r="16" spans="1:6">
      <c r="C16" s="14"/>
      <c r="D16" s="14"/>
      <c r="E16" s="14"/>
      <c r="F16" s="14"/>
    </row>
    <row r="17" spans="3:6">
      <c r="C17" s="16" t="s">
        <v>42</v>
      </c>
      <c r="D17" s="16" t="s">
        <v>46</v>
      </c>
      <c r="E17" s="16" t="s">
        <v>47</v>
      </c>
      <c r="F17" s="16" t="s">
        <v>39</v>
      </c>
    </row>
    <row r="18" spans="3:6">
      <c r="C18" s="14">
        <f>C15</f>
        <v>10000</v>
      </c>
      <c r="D18" s="14">
        <f>E15</f>
        <v>11000</v>
      </c>
      <c r="E18" s="14">
        <f>C3+C6</f>
        <v>1210000</v>
      </c>
      <c r="F18" s="14">
        <f>C18/D18*E18</f>
        <v>1100000</v>
      </c>
    </row>
    <row r="19" spans="3:6">
      <c r="C19" s="14"/>
      <c r="D19" s="14"/>
      <c r="E19" s="14"/>
      <c r="F19" s="14"/>
    </row>
    <row r="20" spans="3:6">
      <c r="C20" s="16" t="s">
        <v>45</v>
      </c>
      <c r="D20" s="16" t="s">
        <v>46</v>
      </c>
      <c r="E20" s="16" t="s">
        <v>47</v>
      </c>
      <c r="F20" s="16" t="s">
        <v>48</v>
      </c>
    </row>
    <row r="21" spans="3:6">
      <c r="C21" s="14">
        <f>E12</f>
        <v>1000</v>
      </c>
      <c r="D21" s="14">
        <f>E15</f>
        <v>11000</v>
      </c>
      <c r="E21" s="14">
        <f>E18</f>
        <v>1210000</v>
      </c>
      <c r="F21" s="14">
        <f>C21/D21*E21</f>
        <v>110000</v>
      </c>
    </row>
    <row r="23" spans="3:6" s="17" customFormat="1" ht="141.75">
      <c r="C23" s="37" t="s">
        <v>49</v>
      </c>
    </row>
  </sheetData>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3:P50"/>
  <sheetViews>
    <sheetView topLeftCell="A43" workbookViewId="0">
      <selection activeCell="F31" sqref="F31"/>
    </sheetView>
  </sheetViews>
  <sheetFormatPr defaultRowHeight="15.75"/>
  <cols>
    <col min="2" max="2" width="62.875" bestFit="1" customWidth="1"/>
    <col min="15" max="15" width="26.125" bestFit="1" customWidth="1"/>
  </cols>
  <sheetData>
    <row r="3" spans="1:16">
      <c r="A3" t="s">
        <v>34</v>
      </c>
      <c r="B3" s="120" t="s">
        <v>136</v>
      </c>
      <c r="C3" s="121"/>
      <c r="D3" s="121"/>
      <c r="E3" s="121"/>
      <c r="F3" s="121"/>
      <c r="G3" s="121"/>
      <c r="H3" s="121"/>
      <c r="I3" s="121"/>
      <c r="J3" s="121"/>
      <c r="K3" s="121"/>
      <c r="L3" s="121"/>
      <c r="M3" s="122"/>
      <c r="O3" s="81" t="s">
        <v>75</v>
      </c>
      <c r="P3" s="82"/>
    </row>
    <row r="4" spans="1:16">
      <c r="B4" s="27" t="s">
        <v>76</v>
      </c>
      <c r="C4" s="28">
        <v>1967</v>
      </c>
      <c r="D4" s="28">
        <f>C4+1</f>
        <v>1968</v>
      </c>
      <c r="E4" s="28">
        <f t="shared" ref="E4:M4" si="0">D4+1</f>
        <v>1969</v>
      </c>
      <c r="F4" s="28">
        <f t="shared" si="0"/>
        <v>1970</v>
      </c>
      <c r="G4" s="28">
        <f t="shared" si="0"/>
        <v>1971</v>
      </c>
      <c r="H4" s="28">
        <f t="shared" si="0"/>
        <v>1972</v>
      </c>
      <c r="I4" s="28">
        <f t="shared" si="0"/>
        <v>1973</v>
      </c>
      <c r="J4" s="28">
        <f t="shared" si="0"/>
        <v>1974</v>
      </c>
      <c r="K4" s="28">
        <f t="shared" si="0"/>
        <v>1975</v>
      </c>
      <c r="L4" s="28">
        <f t="shared" si="0"/>
        <v>1976</v>
      </c>
      <c r="M4" s="83">
        <f t="shared" si="0"/>
        <v>1977</v>
      </c>
      <c r="O4" s="27" t="s">
        <v>77</v>
      </c>
      <c r="P4" s="29">
        <v>210</v>
      </c>
    </row>
    <row r="5" spans="1:16">
      <c r="B5" s="84" t="s">
        <v>78</v>
      </c>
      <c r="C5" s="85">
        <v>0</v>
      </c>
      <c r="D5" s="85">
        <v>1</v>
      </c>
      <c r="E5" s="85">
        <v>2</v>
      </c>
      <c r="F5" s="85">
        <v>3</v>
      </c>
      <c r="G5" s="85">
        <v>4</v>
      </c>
      <c r="H5" s="85">
        <v>5</v>
      </c>
      <c r="I5" s="85">
        <v>6</v>
      </c>
      <c r="J5" s="85">
        <v>7</v>
      </c>
      <c r="K5" s="85">
        <v>8</v>
      </c>
      <c r="L5" s="85">
        <v>9</v>
      </c>
      <c r="M5" s="86">
        <v>10</v>
      </c>
      <c r="N5" s="87"/>
      <c r="O5" s="88" t="s">
        <v>79</v>
      </c>
      <c r="P5" s="89">
        <v>6</v>
      </c>
    </row>
    <row r="6" spans="1:16">
      <c r="B6" s="27" t="s">
        <v>80</v>
      </c>
      <c r="C6" s="28"/>
      <c r="D6" s="28"/>
      <c r="E6" s="28"/>
      <c r="F6" s="28"/>
      <c r="G6" s="28"/>
      <c r="H6" s="90">
        <f t="shared" ref="H6:M6" si="1">$P$12</f>
        <v>420</v>
      </c>
      <c r="I6" s="90">
        <f t="shared" si="1"/>
        <v>420</v>
      </c>
      <c r="J6" s="90">
        <f t="shared" si="1"/>
        <v>420</v>
      </c>
      <c r="K6" s="90">
        <f t="shared" si="1"/>
        <v>420</v>
      </c>
      <c r="L6" s="90">
        <f t="shared" si="1"/>
        <v>420</v>
      </c>
      <c r="M6" s="91">
        <f t="shared" si="1"/>
        <v>420</v>
      </c>
      <c r="O6" s="27" t="s">
        <v>81</v>
      </c>
      <c r="P6" s="29">
        <f>P4/P5</f>
        <v>35</v>
      </c>
    </row>
    <row r="7" spans="1:16">
      <c r="B7" s="92" t="s">
        <v>82</v>
      </c>
      <c r="C7" s="30"/>
      <c r="D7" s="30"/>
      <c r="E7" s="30"/>
      <c r="F7" s="93">
        <f t="shared" ref="F7:K7" si="2">$P$11</f>
        <v>140</v>
      </c>
      <c r="G7" s="93">
        <f t="shared" si="2"/>
        <v>140</v>
      </c>
      <c r="H7" s="93">
        <f t="shared" si="2"/>
        <v>140</v>
      </c>
      <c r="I7" s="93">
        <f t="shared" si="2"/>
        <v>140</v>
      </c>
      <c r="J7" s="93">
        <f t="shared" si="2"/>
        <v>140</v>
      </c>
      <c r="K7" s="93">
        <f t="shared" si="2"/>
        <v>140</v>
      </c>
      <c r="L7" s="93"/>
      <c r="M7" s="31"/>
      <c r="O7" s="27" t="s">
        <v>83</v>
      </c>
      <c r="P7" s="29">
        <v>14</v>
      </c>
    </row>
    <row r="8" spans="1:16">
      <c r="B8" s="32" t="s">
        <v>84</v>
      </c>
      <c r="C8" s="33">
        <f>C6+C7</f>
        <v>0</v>
      </c>
      <c r="D8" s="33">
        <f t="shared" ref="D8:M8" si="3">D6+D7</f>
        <v>0</v>
      </c>
      <c r="E8" s="33">
        <f t="shared" si="3"/>
        <v>0</v>
      </c>
      <c r="F8" s="33">
        <f t="shared" si="3"/>
        <v>140</v>
      </c>
      <c r="G8" s="94">
        <f t="shared" si="3"/>
        <v>140</v>
      </c>
      <c r="H8" s="33">
        <f t="shared" si="3"/>
        <v>560</v>
      </c>
      <c r="I8" s="33">
        <f t="shared" si="3"/>
        <v>560</v>
      </c>
      <c r="J8" s="33">
        <f t="shared" si="3"/>
        <v>560</v>
      </c>
      <c r="K8" s="33">
        <f t="shared" si="3"/>
        <v>560</v>
      </c>
      <c r="L8" s="33">
        <f t="shared" si="3"/>
        <v>420</v>
      </c>
      <c r="M8" s="95">
        <f t="shared" si="3"/>
        <v>420</v>
      </c>
      <c r="O8" s="27" t="s">
        <v>85</v>
      </c>
      <c r="P8" s="29">
        <f>P7*P6</f>
        <v>490</v>
      </c>
    </row>
    <row r="9" spans="1:16">
      <c r="B9" s="27"/>
      <c r="C9" s="28"/>
      <c r="D9" s="28"/>
      <c r="E9" s="28"/>
      <c r="F9" s="28"/>
      <c r="G9" s="90"/>
      <c r="H9" s="90"/>
      <c r="I9" s="90"/>
      <c r="J9" s="90"/>
      <c r="K9" s="90"/>
      <c r="L9" s="90"/>
      <c r="M9" s="29"/>
      <c r="O9" s="27" t="s">
        <v>86</v>
      </c>
      <c r="P9" s="29">
        <v>16</v>
      </c>
    </row>
    <row r="10" spans="1:16">
      <c r="B10" s="27" t="s">
        <v>87</v>
      </c>
      <c r="C10" s="28">
        <v>-100</v>
      </c>
      <c r="D10" s="28">
        <v>-200</v>
      </c>
      <c r="E10" s="28">
        <v>-200</v>
      </c>
      <c r="F10" s="28">
        <v>-200</v>
      </c>
      <c r="G10" s="28">
        <v>-200</v>
      </c>
      <c r="H10" s="28"/>
      <c r="I10" s="28"/>
      <c r="J10" s="28"/>
      <c r="K10" s="28"/>
      <c r="L10" s="28"/>
      <c r="M10" s="29"/>
      <c r="O10" s="27" t="s">
        <v>88</v>
      </c>
      <c r="P10" s="29">
        <f>P6*P9</f>
        <v>560</v>
      </c>
    </row>
    <row r="11" spans="1:16">
      <c r="B11" s="27" t="s">
        <v>89</v>
      </c>
      <c r="C11" s="28"/>
      <c r="D11" s="28"/>
      <c r="E11" s="28"/>
      <c r="F11" s="28"/>
      <c r="G11" s="28">
        <f t="shared" ref="G11:L11" si="4">-$P$8</f>
        <v>-490</v>
      </c>
      <c r="H11" s="28">
        <f t="shared" si="4"/>
        <v>-490</v>
      </c>
      <c r="I11" s="28">
        <f t="shared" si="4"/>
        <v>-490</v>
      </c>
      <c r="J11" s="28">
        <f t="shared" si="4"/>
        <v>-490</v>
      </c>
      <c r="K11" s="28">
        <f t="shared" si="4"/>
        <v>-490</v>
      </c>
      <c r="L11" s="28">
        <f t="shared" si="4"/>
        <v>-490</v>
      </c>
      <c r="M11" s="29"/>
      <c r="O11" s="27" t="s">
        <v>90</v>
      </c>
      <c r="P11" s="91">
        <f>P10*P14</f>
        <v>140</v>
      </c>
    </row>
    <row r="12" spans="1:16">
      <c r="B12" s="32" t="s">
        <v>91</v>
      </c>
      <c r="C12" s="33">
        <f>C10+C11</f>
        <v>-100</v>
      </c>
      <c r="D12" s="33">
        <f t="shared" ref="D12:M12" si="5">D10+D11</f>
        <v>-200</v>
      </c>
      <c r="E12" s="33">
        <f t="shared" si="5"/>
        <v>-200</v>
      </c>
      <c r="F12" s="33">
        <f t="shared" si="5"/>
        <v>-200</v>
      </c>
      <c r="G12" s="33">
        <f t="shared" si="5"/>
        <v>-690</v>
      </c>
      <c r="H12" s="33">
        <f t="shared" si="5"/>
        <v>-490</v>
      </c>
      <c r="I12" s="33">
        <f t="shared" si="5"/>
        <v>-490</v>
      </c>
      <c r="J12" s="33">
        <f t="shared" si="5"/>
        <v>-490</v>
      </c>
      <c r="K12" s="33">
        <f t="shared" si="5"/>
        <v>-490</v>
      </c>
      <c r="L12" s="33">
        <f t="shared" si="5"/>
        <v>-490</v>
      </c>
      <c r="M12" s="34">
        <f t="shared" si="5"/>
        <v>0</v>
      </c>
      <c r="O12" s="27" t="s">
        <v>92</v>
      </c>
      <c r="P12" s="91">
        <f>P10-P11</f>
        <v>420</v>
      </c>
    </row>
    <row r="13" spans="1:16">
      <c r="B13" s="27"/>
      <c r="C13" s="28"/>
      <c r="D13" s="28"/>
      <c r="E13" s="28"/>
      <c r="F13" s="28"/>
      <c r="G13" s="28"/>
      <c r="H13" s="28"/>
      <c r="I13" s="28"/>
      <c r="J13" s="28"/>
      <c r="K13" s="28"/>
      <c r="L13" s="28"/>
      <c r="M13" s="29"/>
      <c r="O13" s="27" t="s">
        <v>93</v>
      </c>
      <c r="P13" s="29">
        <v>2</v>
      </c>
    </row>
    <row r="14" spans="1:16" ht="16.5" thickBot="1">
      <c r="B14" s="96" t="s">
        <v>94</v>
      </c>
      <c r="C14" s="97">
        <f>C8+C12</f>
        <v>-100</v>
      </c>
      <c r="D14" s="98">
        <f t="shared" ref="D14:M14" si="6">D8+D12</f>
        <v>-200</v>
      </c>
      <c r="E14" s="98">
        <f t="shared" si="6"/>
        <v>-200</v>
      </c>
      <c r="F14" s="98">
        <f t="shared" si="6"/>
        <v>-60</v>
      </c>
      <c r="G14" s="99">
        <f t="shared" si="6"/>
        <v>-550</v>
      </c>
      <c r="H14" s="98">
        <f t="shared" si="6"/>
        <v>70</v>
      </c>
      <c r="I14" s="98">
        <f t="shared" si="6"/>
        <v>70</v>
      </c>
      <c r="J14" s="98">
        <f t="shared" si="6"/>
        <v>70</v>
      </c>
      <c r="K14" s="98">
        <f t="shared" si="6"/>
        <v>70</v>
      </c>
      <c r="L14" s="98">
        <f t="shared" si="6"/>
        <v>-70</v>
      </c>
      <c r="M14" s="100">
        <f t="shared" si="6"/>
        <v>420</v>
      </c>
      <c r="O14" s="27" t="s">
        <v>95</v>
      </c>
      <c r="P14" s="101">
        <v>0.25</v>
      </c>
    </row>
    <row r="15" spans="1:16" ht="16.5" thickBot="1">
      <c r="B15" s="102" t="s">
        <v>96</v>
      </c>
      <c r="C15" s="103">
        <f>NPV(P16,D14,E14,F14,G14,H14,I14,J14,K14,L14,M14,)+C14</f>
        <v>-584.04812563834719</v>
      </c>
      <c r="D15" s="30"/>
      <c r="E15" s="30"/>
      <c r="F15" s="30"/>
      <c r="G15" s="30"/>
      <c r="H15" s="30"/>
      <c r="I15" s="30"/>
      <c r="J15" s="30"/>
      <c r="K15" s="30"/>
      <c r="L15" s="30"/>
      <c r="M15" s="31"/>
      <c r="O15" s="27" t="s">
        <v>97</v>
      </c>
      <c r="P15" s="101">
        <v>0.09</v>
      </c>
    </row>
    <row r="16" spans="1:16">
      <c r="O16" s="35" t="s">
        <v>98</v>
      </c>
      <c r="P16" s="104">
        <v>0.1</v>
      </c>
    </row>
    <row r="18" spans="1:16">
      <c r="A18" t="s">
        <v>35</v>
      </c>
      <c r="B18" s="120" t="s">
        <v>137</v>
      </c>
      <c r="C18" s="121"/>
      <c r="D18" s="121"/>
      <c r="E18" s="121"/>
      <c r="F18" s="121"/>
      <c r="G18" s="121"/>
      <c r="H18" s="121"/>
      <c r="I18" s="121"/>
      <c r="J18" s="121"/>
      <c r="K18" s="121"/>
      <c r="L18" s="121"/>
      <c r="M18" s="122"/>
      <c r="O18" s="81" t="s">
        <v>75</v>
      </c>
      <c r="P18" s="82"/>
    </row>
    <row r="19" spans="1:16">
      <c r="B19" s="27" t="s">
        <v>76</v>
      </c>
      <c r="C19" s="28">
        <v>1967</v>
      </c>
      <c r="D19" s="28">
        <f>C19+1</f>
        <v>1968</v>
      </c>
      <c r="E19" s="28">
        <f t="shared" ref="E19:M19" si="7">D19+1</f>
        <v>1969</v>
      </c>
      <c r="F19" s="28">
        <f t="shared" si="7"/>
        <v>1970</v>
      </c>
      <c r="G19" s="28">
        <f t="shared" si="7"/>
        <v>1971</v>
      </c>
      <c r="H19" s="28">
        <f t="shared" si="7"/>
        <v>1972</v>
      </c>
      <c r="I19" s="28">
        <f t="shared" si="7"/>
        <v>1973</v>
      </c>
      <c r="J19" s="28">
        <f t="shared" si="7"/>
        <v>1974</v>
      </c>
      <c r="K19" s="28">
        <f t="shared" si="7"/>
        <v>1975</v>
      </c>
      <c r="L19" s="28">
        <f t="shared" si="7"/>
        <v>1976</v>
      </c>
      <c r="M19" s="83">
        <f t="shared" si="7"/>
        <v>1977</v>
      </c>
      <c r="O19" s="27" t="s">
        <v>77</v>
      </c>
      <c r="P19" s="29">
        <v>300</v>
      </c>
    </row>
    <row r="20" spans="1:16">
      <c r="B20" s="84" t="s">
        <v>78</v>
      </c>
      <c r="C20" s="85">
        <v>0</v>
      </c>
      <c r="D20" s="85">
        <v>1</v>
      </c>
      <c r="E20" s="85">
        <v>2</v>
      </c>
      <c r="F20" s="85">
        <v>3</v>
      </c>
      <c r="G20" s="85">
        <v>4</v>
      </c>
      <c r="H20" s="85">
        <v>5</v>
      </c>
      <c r="I20" s="85">
        <v>6</v>
      </c>
      <c r="J20" s="85">
        <v>7</v>
      </c>
      <c r="K20" s="85">
        <v>8</v>
      </c>
      <c r="L20" s="85">
        <v>9</v>
      </c>
      <c r="M20" s="86">
        <v>10</v>
      </c>
      <c r="N20" s="87"/>
      <c r="O20" s="88" t="s">
        <v>79</v>
      </c>
      <c r="P20" s="89">
        <v>6</v>
      </c>
    </row>
    <row r="21" spans="1:16">
      <c r="B21" s="27" t="s">
        <v>80</v>
      </c>
      <c r="C21" s="28"/>
      <c r="D21" s="28"/>
      <c r="E21" s="28"/>
      <c r="F21" s="28"/>
      <c r="G21" s="28"/>
      <c r="H21" s="90">
        <f>P27</f>
        <v>600</v>
      </c>
      <c r="I21" s="90">
        <f>P27</f>
        <v>600</v>
      </c>
      <c r="J21" s="90">
        <f>P27</f>
        <v>600</v>
      </c>
      <c r="K21" s="90">
        <f>P27</f>
        <v>600</v>
      </c>
      <c r="L21" s="90">
        <f>P27</f>
        <v>600</v>
      </c>
      <c r="M21" s="91">
        <f>P27</f>
        <v>600</v>
      </c>
      <c r="O21" s="27" t="s">
        <v>81</v>
      </c>
      <c r="P21" s="29">
        <f>P19/P20</f>
        <v>50</v>
      </c>
    </row>
    <row r="22" spans="1:16">
      <c r="B22" s="92" t="s">
        <v>82</v>
      </c>
      <c r="C22" s="30"/>
      <c r="D22" s="30"/>
      <c r="E22" s="30"/>
      <c r="F22" s="93">
        <f>P26</f>
        <v>200</v>
      </c>
      <c r="G22" s="93">
        <f>P26</f>
        <v>200</v>
      </c>
      <c r="H22" s="93">
        <f>P26</f>
        <v>200</v>
      </c>
      <c r="I22" s="93">
        <f>P26</f>
        <v>200</v>
      </c>
      <c r="J22" s="93">
        <f>P26</f>
        <v>200</v>
      </c>
      <c r="K22" s="93">
        <f>P26</f>
        <v>200</v>
      </c>
      <c r="L22" s="93"/>
      <c r="M22" s="31"/>
      <c r="O22" s="27" t="s">
        <v>83</v>
      </c>
      <c r="P22" s="29">
        <v>12.5</v>
      </c>
    </row>
    <row r="23" spans="1:16">
      <c r="B23" s="32" t="s">
        <v>84</v>
      </c>
      <c r="C23" s="33">
        <f>C21+C22</f>
        <v>0</v>
      </c>
      <c r="D23" s="33">
        <f t="shared" ref="D23:M23" si="8">D21+D22</f>
        <v>0</v>
      </c>
      <c r="E23" s="33">
        <f t="shared" si="8"/>
        <v>0</v>
      </c>
      <c r="F23" s="33">
        <f t="shared" si="8"/>
        <v>200</v>
      </c>
      <c r="G23" s="94">
        <f t="shared" si="8"/>
        <v>200</v>
      </c>
      <c r="H23" s="33">
        <f t="shared" si="8"/>
        <v>800</v>
      </c>
      <c r="I23" s="33">
        <f t="shared" si="8"/>
        <v>800</v>
      </c>
      <c r="J23" s="33">
        <f t="shared" si="8"/>
        <v>800</v>
      </c>
      <c r="K23" s="33">
        <f t="shared" si="8"/>
        <v>800</v>
      </c>
      <c r="L23" s="33">
        <f t="shared" si="8"/>
        <v>600</v>
      </c>
      <c r="M23" s="95">
        <f t="shared" si="8"/>
        <v>600</v>
      </c>
      <c r="O23" s="27" t="s">
        <v>85</v>
      </c>
      <c r="P23" s="29">
        <f>P22*P21</f>
        <v>625</v>
      </c>
    </row>
    <row r="24" spans="1:16">
      <c r="B24" s="27"/>
      <c r="C24" s="28"/>
      <c r="D24" s="28"/>
      <c r="E24" s="28"/>
      <c r="F24" s="28"/>
      <c r="G24" s="90"/>
      <c r="H24" s="90"/>
      <c r="I24" s="90"/>
      <c r="J24" s="90"/>
      <c r="K24" s="90"/>
      <c r="L24" s="90"/>
      <c r="M24" s="29"/>
      <c r="O24" s="27" t="s">
        <v>86</v>
      </c>
      <c r="P24" s="29">
        <v>16</v>
      </c>
    </row>
    <row r="25" spans="1:16">
      <c r="B25" s="27" t="s">
        <v>87</v>
      </c>
      <c r="C25" s="28">
        <v>-100</v>
      </c>
      <c r="D25" s="28">
        <v>-200</v>
      </c>
      <c r="E25" s="28">
        <v>-200</v>
      </c>
      <c r="F25" s="28">
        <v>-200</v>
      </c>
      <c r="G25" s="28">
        <v>-200</v>
      </c>
      <c r="H25" s="105">
        <v>-60</v>
      </c>
      <c r="I25" s="28"/>
      <c r="J25" s="28"/>
      <c r="K25" s="28"/>
      <c r="L25" s="28"/>
      <c r="M25" s="29"/>
      <c r="O25" s="27" t="s">
        <v>88</v>
      </c>
      <c r="P25" s="29">
        <f>P21*P24</f>
        <v>800</v>
      </c>
    </row>
    <row r="26" spans="1:16">
      <c r="B26" s="27" t="s">
        <v>89</v>
      </c>
      <c r="C26" s="28"/>
      <c r="D26" s="28"/>
      <c r="E26" s="28"/>
      <c r="F26" s="28"/>
      <c r="G26" s="28">
        <f>-P23</f>
        <v>-625</v>
      </c>
      <c r="H26" s="28">
        <f>-P23</f>
        <v>-625</v>
      </c>
      <c r="I26" s="28">
        <f>-P23</f>
        <v>-625</v>
      </c>
      <c r="J26" s="28">
        <f>-P23</f>
        <v>-625</v>
      </c>
      <c r="K26" s="28">
        <f>-P23</f>
        <v>-625</v>
      </c>
      <c r="L26" s="28">
        <f>-P23</f>
        <v>-625</v>
      </c>
      <c r="M26" s="29"/>
      <c r="O26" s="27" t="s">
        <v>90</v>
      </c>
      <c r="P26" s="91">
        <f>P25*P29</f>
        <v>200</v>
      </c>
    </row>
    <row r="27" spans="1:16">
      <c r="B27" s="32" t="s">
        <v>91</v>
      </c>
      <c r="C27" s="33">
        <f>C25+C26</f>
        <v>-100</v>
      </c>
      <c r="D27" s="33">
        <f t="shared" ref="D27:M27" si="9">D25+D26</f>
        <v>-200</v>
      </c>
      <c r="E27" s="33">
        <f t="shared" si="9"/>
        <v>-200</v>
      </c>
      <c r="F27" s="33">
        <f t="shared" si="9"/>
        <v>-200</v>
      </c>
      <c r="G27" s="33">
        <f t="shared" si="9"/>
        <v>-825</v>
      </c>
      <c r="H27" s="33">
        <f t="shared" si="9"/>
        <v>-685</v>
      </c>
      <c r="I27" s="33">
        <f t="shared" si="9"/>
        <v>-625</v>
      </c>
      <c r="J27" s="33">
        <f t="shared" si="9"/>
        <v>-625</v>
      </c>
      <c r="K27" s="33">
        <f t="shared" si="9"/>
        <v>-625</v>
      </c>
      <c r="L27" s="33">
        <f t="shared" si="9"/>
        <v>-625</v>
      </c>
      <c r="M27" s="34">
        <f t="shared" si="9"/>
        <v>0</v>
      </c>
      <c r="O27" s="27" t="s">
        <v>92</v>
      </c>
      <c r="P27" s="91">
        <f>P25-P26</f>
        <v>600</v>
      </c>
    </row>
    <row r="28" spans="1:16">
      <c r="B28" s="27"/>
      <c r="C28" s="28"/>
      <c r="D28" s="28"/>
      <c r="E28" s="28"/>
      <c r="F28" s="28"/>
      <c r="G28" s="28"/>
      <c r="H28" s="28"/>
      <c r="I28" s="28"/>
      <c r="J28" s="28"/>
      <c r="K28" s="28"/>
      <c r="L28" s="28"/>
      <c r="M28" s="29"/>
      <c r="O28" s="27" t="s">
        <v>93</v>
      </c>
      <c r="P28" s="29">
        <v>2</v>
      </c>
    </row>
    <row r="29" spans="1:16" ht="16.5" thickBot="1">
      <c r="B29" s="96" t="s">
        <v>94</v>
      </c>
      <c r="C29" s="97">
        <f>C23+C27</f>
        <v>-100</v>
      </c>
      <c r="D29" s="98">
        <f t="shared" ref="D29:M29" si="10">D23+D27</f>
        <v>-200</v>
      </c>
      <c r="E29" s="98">
        <f t="shared" si="10"/>
        <v>-200</v>
      </c>
      <c r="F29" s="98">
        <f t="shared" si="10"/>
        <v>0</v>
      </c>
      <c r="G29" s="99">
        <f t="shared" si="10"/>
        <v>-625</v>
      </c>
      <c r="H29" s="98">
        <f t="shared" si="10"/>
        <v>115</v>
      </c>
      <c r="I29" s="98">
        <f t="shared" si="10"/>
        <v>175</v>
      </c>
      <c r="J29" s="98">
        <f t="shared" si="10"/>
        <v>175</v>
      </c>
      <c r="K29" s="98">
        <f t="shared" si="10"/>
        <v>175</v>
      </c>
      <c r="L29" s="98">
        <f t="shared" si="10"/>
        <v>-25</v>
      </c>
      <c r="M29" s="100">
        <f t="shared" si="10"/>
        <v>600</v>
      </c>
      <c r="O29" s="27" t="s">
        <v>95</v>
      </c>
      <c r="P29" s="101">
        <v>0.25</v>
      </c>
    </row>
    <row r="30" spans="1:16" ht="16.5" thickBot="1">
      <c r="B30" s="102" t="s">
        <v>96</v>
      </c>
      <c r="C30" s="103">
        <f>NPV(P31,D29,E29,F29,G29,H29,I29,J29,K29,L29,M29,)+C29</f>
        <v>-311.63696228300046</v>
      </c>
      <c r="D30" s="30"/>
      <c r="E30" s="30"/>
      <c r="F30" s="30"/>
      <c r="G30" s="30"/>
      <c r="H30" s="30"/>
      <c r="I30" s="30"/>
      <c r="J30" s="30"/>
      <c r="K30" s="30"/>
      <c r="L30" s="30"/>
      <c r="M30" s="31"/>
      <c r="O30" s="27" t="s">
        <v>97</v>
      </c>
      <c r="P30" s="101">
        <v>0.09</v>
      </c>
    </row>
    <row r="31" spans="1:16">
      <c r="B31" t="s">
        <v>134</v>
      </c>
      <c r="O31" s="35" t="s">
        <v>98</v>
      </c>
      <c r="P31" s="104">
        <v>0.1</v>
      </c>
    </row>
    <row r="34" spans="1:16">
      <c r="A34" t="s">
        <v>36</v>
      </c>
      <c r="B34" s="120" t="s">
        <v>138</v>
      </c>
      <c r="C34" s="121"/>
      <c r="D34" s="121"/>
      <c r="E34" s="121"/>
      <c r="F34" s="121"/>
      <c r="G34" s="121"/>
      <c r="H34" s="121"/>
      <c r="I34" s="121"/>
      <c r="J34" s="121"/>
      <c r="K34" s="121"/>
      <c r="L34" s="121"/>
      <c r="M34" s="122"/>
      <c r="O34" s="81" t="s">
        <v>75</v>
      </c>
      <c r="P34" s="82"/>
    </row>
    <row r="35" spans="1:16">
      <c r="B35" s="27" t="s">
        <v>76</v>
      </c>
      <c r="C35" s="28">
        <v>1967</v>
      </c>
      <c r="D35" s="28">
        <f>C35+1</f>
        <v>1968</v>
      </c>
      <c r="E35" s="28">
        <f t="shared" ref="E35:M35" si="11">D35+1</f>
        <v>1969</v>
      </c>
      <c r="F35" s="28">
        <f t="shared" si="11"/>
        <v>1970</v>
      </c>
      <c r="G35" s="28">
        <f t="shared" si="11"/>
        <v>1971</v>
      </c>
      <c r="H35" s="28">
        <f t="shared" si="11"/>
        <v>1972</v>
      </c>
      <c r="I35" s="28">
        <f t="shared" si="11"/>
        <v>1973</v>
      </c>
      <c r="J35" s="28">
        <f t="shared" si="11"/>
        <v>1974</v>
      </c>
      <c r="K35" s="28">
        <f t="shared" si="11"/>
        <v>1975</v>
      </c>
      <c r="L35" s="28">
        <f t="shared" si="11"/>
        <v>1976</v>
      </c>
      <c r="M35" s="83">
        <f t="shared" si="11"/>
        <v>1977</v>
      </c>
      <c r="O35" s="27" t="s">
        <v>77</v>
      </c>
      <c r="P35" s="29">
        <v>480</v>
      </c>
    </row>
    <row r="36" spans="1:16">
      <c r="B36" s="84" t="s">
        <v>78</v>
      </c>
      <c r="C36" s="85">
        <v>0</v>
      </c>
      <c r="D36" s="85">
        <v>1</v>
      </c>
      <c r="E36" s="85">
        <v>2</v>
      </c>
      <c r="F36" s="85">
        <v>3</v>
      </c>
      <c r="G36" s="85">
        <v>4</v>
      </c>
      <c r="H36" s="85">
        <v>5</v>
      </c>
      <c r="I36" s="85">
        <v>6</v>
      </c>
      <c r="J36" s="85">
        <v>7</v>
      </c>
      <c r="K36" s="85">
        <v>8</v>
      </c>
      <c r="L36" s="85">
        <v>9</v>
      </c>
      <c r="M36" s="86">
        <v>10</v>
      </c>
      <c r="N36" s="87"/>
      <c r="O36" s="88" t="s">
        <v>79</v>
      </c>
      <c r="P36" s="89">
        <v>6</v>
      </c>
    </row>
    <row r="37" spans="1:16">
      <c r="B37" s="27" t="s">
        <v>80</v>
      </c>
      <c r="C37" s="28"/>
      <c r="D37" s="28"/>
      <c r="E37" s="28"/>
      <c r="F37" s="28"/>
      <c r="G37" s="28"/>
      <c r="H37" s="90">
        <f>P43</f>
        <v>960</v>
      </c>
      <c r="I37" s="90">
        <f>P43</f>
        <v>960</v>
      </c>
      <c r="J37" s="90">
        <f>P43</f>
        <v>960</v>
      </c>
      <c r="K37" s="90">
        <f>P43</f>
        <v>960</v>
      </c>
      <c r="L37" s="90">
        <f>P43</f>
        <v>960</v>
      </c>
      <c r="M37" s="91">
        <f>P43</f>
        <v>960</v>
      </c>
      <c r="O37" s="27" t="s">
        <v>81</v>
      </c>
      <c r="P37" s="29">
        <f>P35/P36</f>
        <v>80</v>
      </c>
    </row>
    <row r="38" spans="1:16">
      <c r="B38" s="92" t="s">
        <v>82</v>
      </c>
      <c r="C38" s="30"/>
      <c r="D38" s="30"/>
      <c r="E38" s="30"/>
      <c r="F38" s="93">
        <f>P42</f>
        <v>320</v>
      </c>
      <c r="G38" s="93">
        <f>P42</f>
        <v>320</v>
      </c>
      <c r="H38" s="93">
        <f>P42</f>
        <v>320</v>
      </c>
      <c r="I38" s="93">
        <f>P42</f>
        <v>320</v>
      </c>
      <c r="J38" s="93">
        <f>P42</f>
        <v>320</v>
      </c>
      <c r="K38" s="93">
        <f>P42</f>
        <v>320</v>
      </c>
      <c r="L38" s="93"/>
      <c r="M38" s="31"/>
      <c r="O38" s="27" t="s">
        <v>83</v>
      </c>
      <c r="P38" s="29">
        <v>12.5</v>
      </c>
    </row>
    <row r="39" spans="1:16">
      <c r="B39" s="32" t="s">
        <v>84</v>
      </c>
      <c r="C39" s="33">
        <f>C37+C38</f>
        <v>0</v>
      </c>
      <c r="D39" s="33">
        <f t="shared" ref="D39:M39" si="12">D37+D38</f>
        <v>0</v>
      </c>
      <c r="E39" s="33">
        <f t="shared" si="12"/>
        <v>0</v>
      </c>
      <c r="F39" s="33">
        <f t="shared" si="12"/>
        <v>320</v>
      </c>
      <c r="G39" s="94">
        <f t="shared" si="12"/>
        <v>320</v>
      </c>
      <c r="H39" s="33">
        <f t="shared" si="12"/>
        <v>1280</v>
      </c>
      <c r="I39" s="33">
        <f t="shared" si="12"/>
        <v>1280</v>
      </c>
      <c r="J39" s="33">
        <f t="shared" si="12"/>
        <v>1280</v>
      </c>
      <c r="K39" s="33">
        <f t="shared" si="12"/>
        <v>1280</v>
      </c>
      <c r="L39" s="33">
        <f t="shared" si="12"/>
        <v>960</v>
      </c>
      <c r="M39" s="95">
        <f t="shared" si="12"/>
        <v>960</v>
      </c>
      <c r="O39" s="27" t="s">
        <v>85</v>
      </c>
      <c r="P39" s="29">
        <f>P38*P37</f>
        <v>1000</v>
      </c>
    </row>
    <row r="40" spans="1:16">
      <c r="B40" s="27"/>
      <c r="C40" s="28"/>
      <c r="D40" s="28"/>
      <c r="E40" s="28"/>
      <c r="F40" s="28"/>
      <c r="G40" s="90"/>
      <c r="H40" s="90"/>
      <c r="I40" s="90"/>
      <c r="J40" s="90"/>
      <c r="K40" s="90"/>
      <c r="L40" s="90"/>
      <c r="M40" s="29"/>
      <c r="O40" s="27" t="s">
        <v>86</v>
      </c>
      <c r="P40" s="29">
        <v>16</v>
      </c>
    </row>
    <row r="41" spans="1:16">
      <c r="B41" s="27" t="s">
        <v>87</v>
      </c>
      <c r="C41" s="28">
        <v>-100</v>
      </c>
      <c r="D41" s="28">
        <v>-200</v>
      </c>
      <c r="E41" s="28">
        <v>-200</v>
      </c>
      <c r="F41" s="28">
        <v>-200</v>
      </c>
      <c r="G41" s="28">
        <v>-200</v>
      </c>
      <c r="H41" s="105"/>
      <c r="I41" s="28"/>
      <c r="J41" s="28"/>
      <c r="K41" s="28"/>
      <c r="L41" s="28"/>
      <c r="M41" s="29"/>
      <c r="O41" s="27" t="s">
        <v>88</v>
      </c>
      <c r="P41" s="29">
        <f>P37*P40</f>
        <v>1280</v>
      </c>
    </row>
    <row r="42" spans="1:16">
      <c r="B42" s="27" t="s">
        <v>89</v>
      </c>
      <c r="C42" s="28"/>
      <c r="D42" s="28"/>
      <c r="E42" s="28"/>
      <c r="F42" s="28"/>
      <c r="G42" s="28">
        <f>-P39</f>
        <v>-1000</v>
      </c>
      <c r="H42" s="28">
        <f>-P39</f>
        <v>-1000</v>
      </c>
      <c r="I42" s="28">
        <f>-P39</f>
        <v>-1000</v>
      </c>
      <c r="J42" s="28">
        <f>-P39</f>
        <v>-1000</v>
      </c>
      <c r="K42" s="28">
        <f>-P39</f>
        <v>-1000</v>
      </c>
      <c r="L42" s="28">
        <f>-P39</f>
        <v>-1000</v>
      </c>
      <c r="M42" s="29"/>
      <c r="O42" s="27" t="s">
        <v>90</v>
      </c>
      <c r="P42" s="91">
        <f>P41*P45</f>
        <v>320</v>
      </c>
    </row>
    <row r="43" spans="1:16">
      <c r="B43" s="32" t="s">
        <v>91</v>
      </c>
      <c r="C43" s="33">
        <f>C41+C42</f>
        <v>-100</v>
      </c>
      <c r="D43" s="33">
        <f t="shared" ref="D43:M43" si="13">D41+D42</f>
        <v>-200</v>
      </c>
      <c r="E43" s="33">
        <f t="shared" si="13"/>
        <v>-200</v>
      </c>
      <c r="F43" s="33">
        <f t="shared" si="13"/>
        <v>-200</v>
      </c>
      <c r="G43" s="33">
        <f t="shared" si="13"/>
        <v>-1200</v>
      </c>
      <c r="H43" s="33">
        <f t="shared" si="13"/>
        <v>-1000</v>
      </c>
      <c r="I43" s="33">
        <f t="shared" si="13"/>
        <v>-1000</v>
      </c>
      <c r="J43" s="33">
        <f t="shared" si="13"/>
        <v>-1000</v>
      </c>
      <c r="K43" s="33">
        <f t="shared" si="13"/>
        <v>-1000</v>
      </c>
      <c r="L43" s="33">
        <f t="shared" si="13"/>
        <v>-1000</v>
      </c>
      <c r="M43" s="34">
        <f t="shared" si="13"/>
        <v>0</v>
      </c>
      <c r="O43" s="27" t="s">
        <v>92</v>
      </c>
      <c r="P43" s="91">
        <f>P41-P42</f>
        <v>960</v>
      </c>
    </row>
    <row r="44" spans="1:16">
      <c r="B44" s="27"/>
      <c r="C44" s="28"/>
      <c r="D44" s="28"/>
      <c r="E44" s="28"/>
      <c r="F44" s="28"/>
      <c r="G44" s="28"/>
      <c r="H44" s="28"/>
      <c r="I44" s="28"/>
      <c r="J44" s="28"/>
      <c r="K44" s="28"/>
      <c r="L44" s="28"/>
      <c r="M44" s="29"/>
      <c r="O44" s="27" t="s">
        <v>93</v>
      </c>
      <c r="P44" s="29">
        <v>2</v>
      </c>
    </row>
    <row r="45" spans="1:16" ht="16.5" thickBot="1">
      <c r="B45" s="96" t="s">
        <v>94</v>
      </c>
      <c r="C45" s="97">
        <f>C39+C43</f>
        <v>-100</v>
      </c>
      <c r="D45" s="98">
        <f t="shared" ref="D45:M45" si="14">D39+D43</f>
        <v>-200</v>
      </c>
      <c r="E45" s="98">
        <f t="shared" si="14"/>
        <v>-200</v>
      </c>
      <c r="F45" s="98">
        <f t="shared" si="14"/>
        <v>120</v>
      </c>
      <c r="G45" s="99">
        <f t="shared" si="14"/>
        <v>-880</v>
      </c>
      <c r="H45" s="98">
        <f t="shared" si="14"/>
        <v>280</v>
      </c>
      <c r="I45" s="98">
        <f t="shared" si="14"/>
        <v>280</v>
      </c>
      <c r="J45" s="98">
        <f t="shared" si="14"/>
        <v>280</v>
      </c>
      <c r="K45" s="98">
        <f t="shared" si="14"/>
        <v>280</v>
      </c>
      <c r="L45" s="98">
        <f t="shared" si="14"/>
        <v>-40</v>
      </c>
      <c r="M45" s="100">
        <f t="shared" si="14"/>
        <v>960</v>
      </c>
      <c r="O45" s="27" t="s">
        <v>95</v>
      </c>
      <c r="P45" s="101">
        <v>0.25</v>
      </c>
    </row>
    <row r="46" spans="1:16" ht="16.5" thickBot="1">
      <c r="B46" s="102" t="s">
        <v>96</v>
      </c>
      <c r="C46" s="103">
        <f>NPV(P47,D45,E45,F45,G45,H45,I45,J45,K45,L45,M45,)+C45</f>
        <v>1.3731609227932466</v>
      </c>
      <c r="D46" s="30"/>
      <c r="E46" s="30"/>
      <c r="F46" s="30"/>
      <c r="G46" s="30"/>
      <c r="H46" s="30"/>
      <c r="I46" s="30"/>
      <c r="J46" s="30"/>
      <c r="K46" s="30"/>
      <c r="L46" s="30"/>
      <c r="M46" s="31"/>
      <c r="O46" s="27" t="s">
        <v>97</v>
      </c>
      <c r="P46" s="101">
        <v>0.09</v>
      </c>
    </row>
    <row r="47" spans="1:16">
      <c r="B47" t="s">
        <v>135</v>
      </c>
      <c r="O47" s="35" t="s">
        <v>98</v>
      </c>
      <c r="P47" s="104">
        <v>0.1</v>
      </c>
    </row>
    <row r="50" spans="1:2" ht="189">
      <c r="A50" s="107" t="s">
        <v>128</v>
      </c>
      <c r="B50" s="106" t="s">
        <v>99</v>
      </c>
    </row>
  </sheetData>
  <mergeCells count="3">
    <mergeCell ref="B3:M3"/>
    <mergeCell ref="B18:M18"/>
    <mergeCell ref="B34:M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Question1</vt:lpstr>
      <vt:lpstr>Question 1</vt:lpstr>
      <vt:lpstr>Question 2</vt:lpstr>
      <vt:lpstr>Question 3</vt:lpstr>
      <vt:lpstr>Question 4</vt:lpstr>
    </vt:vector>
  </TitlesOfParts>
  <Company>UC Berkeley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Alexander Hoffmann</cp:lastModifiedBy>
  <dcterms:created xsi:type="dcterms:W3CDTF">2014-02-25T04:06:50Z</dcterms:created>
  <dcterms:modified xsi:type="dcterms:W3CDTF">2014-11-20T13:20:07Z</dcterms:modified>
</cp:coreProperties>
</file>