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4030"/>
  <workbookPr autoCompressPictures="0"/>
  <bookViews>
    <workbookView xWindow="0" yWindow="0" windowWidth="25600" windowHeight="15020" activeTab="1"/>
  </bookViews>
  <sheets>
    <sheet name="Exhibit 1" sheetId="1" r:id="rId1"/>
    <sheet name="Exhibit 2" sheetId="2" r:id="rId2"/>
    <sheet name="Exhibit 3" sheetId="3" r:id="rId3"/>
    <sheet name="Exhibit 4" sheetId="4" r:id="rId4"/>
  </sheets>
  <definedNames>
    <definedName name="solver_adj" localSheetId="1" hidden="1">'Exhibit 2'!#REF!</definedName>
    <definedName name="solver_cvg" localSheetId="1" hidden="1">0.0001</definedName>
    <definedName name="solver_drv" localSheetId="1" hidden="1">1</definedName>
    <definedName name="solver_eng" localSheetId="1" hidden="1">1</definedName>
    <definedName name="solver_itr" localSheetId="1" hidden="1">2147483647</definedName>
    <definedName name="solver_lin" localSheetId="1" hidden="1">2</definedName>
    <definedName name="solver_mip" localSheetId="1" hidden="1">2147483647</definedName>
    <definedName name="solver_mni" localSheetId="1" hidden="1">30</definedName>
    <definedName name="solver_mrt" localSheetId="1" hidden="1">0.075</definedName>
    <definedName name="solver_msl" localSheetId="1" hidden="1">2</definedName>
    <definedName name="solver_neg" localSheetId="1" hidden="1">1</definedName>
    <definedName name="solver_nod" localSheetId="1" hidden="1">2147483647</definedName>
    <definedName name="solver_num" localSheetId="1" hidden="1">0</definedName>
    <definedName name="solver_opt" localSheetId="1" hidden="1">'Exhibit 2'!$K$5</definedName>
    <definedName name="solver_pre" localSheetId="1" hidden="1">0.000001</definedName>
    <definedName name="solver_rbv" localSheetId="1" hidden="1">1</definedName>
    <definedName name="solver_rlx" localSheetId="1" hidden="1">2</definedName>
    <definedName name="solver_rsd" localSheetId="1" hidden="1">0</definedName>
    <definedName name="solver_scl" localSheetId="1" hidden="1">1</definedName>
    <definedName name="solver_sho" localSheetId="1" hidden="1">2</definedName>
    <definedName name="solver_ssz" localSheetId="1" hidden="1">100</definedName>
    <definedName name="solver_tim" localSheetId="1" hidden="1">2147483647</definedName>
    <definedName name="solver_tol" localSheetId="1" hidden="1">0.01</definedName>
    <definedName name="solver_typ" localSheetId="1" hidden="1">2</definedName>
    <definedName name="solver_val" localSheetId="1" hidden="1">0</definedName>
    <definedName name="solver_ver" localSheetId="1" hidden="1">2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31" i="1" l="1"/>
  <c r="L32" i="1"/>
  <c r="L31" i="1"/>
  <c r="M32" i="1"/>
  <c r="M31" i="1"/>
  <c r="N32" i="1"/>
  <c r="N31" i="1"/>
  <c r="K34" i="1"/>
  <c r="L35" i="1"/>
  <c r="L34" i="1"/>
  <c r="M35" i="1"/>
  <c r="M34" i="1"/>
  <c r="N35" i="1"/>
  <c r="N34" i="1"/>
  <c r="K36" i="1"/>
  <c r="L36" i="1"/>
  <c r="M36" i="1"/>
  <c r="N36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I31" i="1"/>
  <c r="I34" i="1"/>
  <c r="I36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H32" i="1"/>
  <c r="H31" i="1"/>
  <c r="H35" i="1"/>
  <c r="H34" i="1"/>
  <c r="H36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G32" i="1"/>
  <c r="G31" i="1"/>
  <c r="G35" i="1"/>
  <c r="G34" i="1"/>
  <c r="G36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F32" i="1"/>
  <c r="F31" i="1"/>
  <c r="F35" i="1"/>
  <c r="F34" i="1"/>
  <c r="F36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E32" i="1"/>
  <c r="E31" i="1"/>
  <c r="E35" i="1"/>
  <c r="E34" i="1"/>
  <c r="E36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D32" i="1"/>
  <c r="D31" i="1"/>
  <c r="D35" i="1"/>
  <c r="D34" i="1"/>
  <c r="D36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C32" i="1"/>
  <c r="C31" i="1"/>
  <c r="C35" i="1"/>
  <c r="C34" i="1"/>
  <c r="C36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F26" i="2"/>
  <c r="F24" i="2"/>
  <c r="G25" i="2"/>
  <c r="G26" i="2"/>
  <c r="G24" i="2"/>
  <c r="H25" i="2"/>
  <c r="H26" i="2"/>
  <c r="H24" i="2"/>
  <c r="I25" i="2"/>
  <c r="I26" i="2"/>
  <c r="I24" i="2"/>
  <c r="C25" i="2"/>
  <c r="D23" i="2"/>
  <c r="C23" i="2"/>
  <c r="F23" i="2"/>
  <c r="G23" i="2"/>
  <c r="H23" i="2"/>
  <c r="I23" i="2"/>
  <c r="D4" i="2"/>
  <c r="G4" i="2"/>
  <c r="H5" i="2"/>
  <c r="F6" i="2"/>
  <c r="C6" i="2"/>
  <c r="I6" i="2"/>
  <c r="F7" i="2"/>
  <c r="C7" i="2"/>
  <c r="I7" i="2"/>
  <c r="F8" i="2"/>
  <c r="C8" i="2"/>
  <c r="I8" i="2"/>
  <c r="H9" i="2"/>
  <c r="E9" i="2"/>
  <c r="F9" i="2"/>
  <c r="B9" i="2"/>
  <c r="C9" i="2"/>
  <c r="I9" i="2"/>
  <c r="H10" i="2"/>
  <c r="E10" i="2"/>
  <c r="F10" i="2"/>
  <c r="B10" i="2"/>
  <c r="C10" i="2"/>
  <c r="I10" i="2"/>
  <c r="H11" i="2"/>
  <c r="E11" i="2"/>
  <c r="F11" i="2"/>
  <c r="B11" i="2"/>
  <c r="C11" i="2"/>
  <c r="I11" i="2"/>
  <c r="H12" i="2"/>
  <c r="E12" i="2"/>
  <c r="F12" i="2"/>
  <c r="B12" i="2"/>
  <c r="C12" i="2"/>
  <c r="I12" i="2"/>
  <c r="F13" i="2"/>
  <c r="C13" i="2"/>
  <c r="I13" i="2"/>
  <c r="H14" i="2"/>
  <c r="E14" i="2"/>
  <c r="F14" i="2"/>
  <c r="B14" i="2"/>
  <c r="C14" i="2"/>
  <c r="I14" i="2"/>
  <c r="H15" i="2"/>
  <c r="E15" i="2"/>
  <c r="F15" i="2"/>
  <c r="B15" i="2"/>
  <c r="C15" i="2"/>
  <c r="I15" i="2"/>
  <c r="H16" i="2"/>
  <c r="E16" i="2"/>
  <c r="F16" i="2"/>
  <c r="B16" i="2"/>
  <c r="C16" i="2"/>
  <c r="I16" i="2"/>
  <c r="H17" i="2"/>
  <c r="E17" i="2"/>
  <c r="F17" i="2"/>
  <c r="B17" i="2"/>
  <c r="C17" i="2"/>
  <c r="I17" i="2"/>
  <c r="H18" i="2"/>
  <c r="E18" i="2"/>
  <c r="F18" i="2"/>
  <c r="B18" i="2"/>
  <c r="C18" i="2"/>
  <c r="I18" i="2"/>
  <c r="H19" i="2"/>
  <c r="E19" i="2"/>
  <c r="F19" i="2"/>
  <c r="B19" i="2"/>
  <c r="C19" i="2"/>
  <c r="I19" i="2"/>
  <c r="H21" i="2"/>
  <c r="H20" i="2"/>
  <c r="E21" i="2"/>
  <c r="E20" i="2"/>
  <c r="F20" i="2"/>
  <c r="B21" i="2"/>
  <c r="B20" i="2"/>
  <c r="C20" i="2"/>
  <c r="I20" i="2"/>
  <c r="F21" i="2"/>
  <c r="C21" i="2"/>
  <c r="I21" i="2"/>
  <c r="F4" i="2"/>
  <c r="C4" i="2"/>
  <c r="I4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N4" i="1"/>
  <c r="N6" i="1"/>
  <c r="N7" i="1"/>
  <c r="N8" i="1"/>
  <c r="L9" i="1"/>
  <c r="D9" i="1"/>
  <c r="N9" i="1"/>
  <c r="L10" i="1"/>
  <c r="D10" i="1"/>
  <c r="N10" i="1"/>
  <c r="M11" i="1"/>
  <c r="E11" i="1"/>
  <c r="N11" i="1"/>
  <c r="M12" i="1"/>
  <c r="E12" i="1"/>
  <c r="N12" i="1"/>
  <c r="N13" i="1"/>
  <c r="L14" i="1"/>
  <c r="D14" i="1"/>
  <c r="N14" i="1"/>
  <c r="M15" i="1"/>
  <c r="E15" i="1"/>
  <c r="N15" i="1"/>
  <c r="M16" i="1"/>
  <c r="E16" i="1"/>
  <c r="N16" i="1"/>
  <c r="M17" i="1"/>
  <c r="E17" i="1"/>
  <c r="N17" i="1"/>
  <c r="M18" i="1"/>
  <c r="E18" i="1"/>
  <c r="N18" i="1"/>
  <c r="M19" i="1"/>
  <c r="E19" i="1"/>
  <c r="N19" i="1"/>
  <c r="M20" i="1"/>
  <c r="E21" i="1"/>
  <c r="E20" i="1"/>
  <c r="N20" i="1"/>
  <c r="M21" i="1"/>
  <c r="N21" i="1"/>
  <c r="O4" i="1"/>
  <c r="O6" i="1"/>
  <c r="O7" i="1"/>
  <c r="O8" i="1"/>
  <c r="O9" i="1"/>
  <c r="O12" i="1"/>
  <c r="O11" i="1"/>
  <c r="O14" i="1"/>
  <c r="O13" i="1"/>
  <c r="O10" i="1"/>
  <c r="O21" i="1"/>
  <c r="O20" i="1"/>
  <c r="O19" i="1"/>
  <c r="O18" i="1"/>
  <c r="O17" i="1"/>
  <c r="O16" i="1"/>
  <c r="O15" i="1"/>
  <c r="J9" i="1"/>
  <c r="J10" i="1"/>
  <c r="K11" i="1"/>
  <c r="K12" i="1"/>
  <c r="J14" i="1"/>
  <c r="K15" i="1"/>
  <c r="K16" i="1"/>
  <c r="K17" i="1"/>
  <c r="K18" i="1"/>
  <c r="K19" i="1"/>
  <c r="H9" i="1"/>
  <c r="H10" i="1"/>
  <c r="I11" i="1"/>
  <c r="I12" i="1"/>
  <c r="H14" i="1"/>
  <c r="I15" i="1"/>
  <c r="I16" i="1"/>
  <c r="I17" i="1"/>
  <c r="I18" i="1"/>
  <c r="I19" i="1"/>
  <c r="I21" i="1"/>
  <c r="F9" i="1"/>
  <c r="F10" i="1"/>
  <c r="G11" i="1"/>
  <c r="G12" i="1"/>
  <c r="F14" i="1"/>
  <c r="G15" i="1"/>
  <c r="G16" i="1"/>
  <c r="G17" i="1"/>
  <c r="G18" i="1"/>
  <c r="G19" i="1"/>
  <c r="G21" i="1"/>
  <c r="I20" i="1"/>
  <c r="G20" i="1"/>
  <c r="B13" i="4"/>
  <c r="C14" i="4"/>
  <c r="B8" i="4"/>
  <c r="B13" i="3"/>
  <c r="B8" i="3"/>
  <c r="B9" i="3"/>
  <c r="C14" i="3"/>
  <c r="B14" i="1"/>
  <c r="C15" i="1"/>
  <c r="B9" i="1"/>
  <c r="B10" i="1"/>
  <c r="C11" i="1"/>
  <c r="C12" i="1"/>
  <c r="C16" i="1"/>
  <c r="C17" i="1"/>
  <c r="C18" i="1"/>
  <c r="C19" i="1"/>
  <c r="B9" i="4"/>
  <c r="C10" i="4"/>
  <c r="C11" i="4"/>
  <c r="C10" i="3"/>
  <c r="C11" i="3"/>
  <c r="C15" i="4"/>
  <c r="C16" i="4"/>
  <c r="C17" i="4"/>
  <c r="C18" i="4"/>
  <c r="C15" i="3"/>
  <c r="C16" i="3"/>
  <c r="C17" i="3"/>
  <c r="C18" i="3"/>
</calcChain>
</file>

<file path=xl/comments1.xml><?xml version="1.0" encoding="utf-8"?>
<comments xmlns="http://schemas.openxmlformats.org/spreadsheetml/2006/main">
  <authors>
    <author>Benedikt Neufang</author>
  </authors>
  <commentList>
    <comment ref="D10" authorId="0">
      <text>
        <r>
          <rPr>
            <b/>
            <sz val="9"/>
            <color indexed="81"/>
            <rFont val="Calibri"/>
            <family val="2"/>
          </rPr>
          <t>Benedikt Neufang:</t>
        </r>
        <r>
          <rPr>
            <sz val="9"/>
            <color indexed="81"/>
            <rFont val="Calibri"/>
            <family val="2"/>
          </rPr>
          <t xml:space="preserve">
overhead at 178%</t>
        </r>
      </text>
    </comment>
    <comment ref="J10" authorId="0">
      <text>
        <r>
          <rPr>
            <b/>
            <sz val="9"/>
            <color indexed="81"/>
            <rFont val="Calibri"/>
            <family val="2"/>
          </rPr>
          <t>Benedikt Neufang:</t>
        </r>
        <r>
          <rPr>
            <sz val="9"/>
            <color indexed="81"/>
            <rFont val="Calibri"/>
            <family val="2"/>
          </rPr>
          <t xml:space="preserve">
personal overhead at 165%</t>
        </r>
      </text>
    </comment>
    <comment ref="L10" authorId="0">
      <text>
        <r>
          <rPr>
            <b/>
            <sz val="9"/>
            <color indexed="81"/>
            <rFont val="Calibri"/>
            <family val="2"/>
          </rPr>
          <t>Benedikt Neufang:</t>
        </r>
        <r>
          <rPr>
            <sz val="9"/>
            <color indexed="81"/>
            <rFont val="Calibri"/>
            <family val="2"/>
          </rPr>
          <t xml:space="preserve">
overhead at 165%</t>
        </r>
      </text>
    </comment>
    <comment ref="B14" authorId="0">
      <text>
        <r>
          <rPr>
            <b/>
            <sz val="9"/>
            <color indexed="81"/>
            <rFont val="Calibri"/>
            <family val="2"/>
          </rPr>
          <t>Benedikt Neufang:</t>
        </r>
        <r>
          <rPr>
            <sz val="9"/>
            <color indexed="81"/>
            <rFont val="Calibri"/>
            <family val="2"/>
          </rPr>
          <t xml:space="preserve">
overhead at 150%</t>
        </r>
      </text>
    </comment>
    <comment ref="J14" authorId="0">
      <text>
        <r>
          <rPr>
            <b/>
            <sz val="9"/>
            <color indexed="81"/>
            <rFont val="Calibri"/>
            <family val="2"/>
          </rPr>
          <t>Benedikt Neufang:</t>
        </r>
        <r>
          <rPr>
            <sz val="9"/>
            <color indexed="81"/>
            <rFont val="Calibri"/>
            <family val="2"/>
          </rPr>
          <t xml:space="preserve">
overhead at 150%</t>
        </r>
      </text>
    </comment>
  </commentList>
</comments>
</file>

<file path=xl/sharedStrings.xml><?xml version="1.0" encoding="utf-8"?>
<sst xmlns="http://schemas.openxmlformats.org/spreadsheetml/2006/main" count="140" uniqueCount="60">
  <si>
    <t>Exhibit 1: Unit Cost Estimate and Bid Price for 50 Cherokee Electronics Guidance Systems</t>
  </si>
  <si>
    <t>Material</t>
  </si>
  <si>
    <t>Total direct labor</t>
  </si>
  <si>
    <t>Direct labor</t>
  </si>
  <si>
    <t>Total labor</t>
  </si>
  <si>
    <t>Shop cost</t>
  </si>
  <si>
    <t>Engineering</t>
  </si>
  <si>
    <t>Engineering overhead (@ 150%)</t>
  </si>
  <si>
    <t>Total engineering</t>
  </si>
  <si>
    <t>Service warranty (@ 2.5% of shop cost)</t>
  </si>
  <si>
    <t>Manufacturing cost</t>
  </si>
  <si>
    <t>Total cost and bid price</t>
  </si>
  <si>
    <t xml:space="preserve">      Fabrication</t>
  </si>
  <si>
    <t xml:space="preserve">      Assembly</t>
  </si>
  <si>
    <t xml:space="preserve">      Test</t>
  </si>
  <si>
    <t>Exhibit 2: Unit Cost Estimates and Bid prices for Three Quantities of Cherokee Electronics Guidance Systems</t>
  </si>
  <si>
    <t>67% - 2,000 Units</t>
  </si>
  <si>
    <t>50% - 1,500 Units</t>
  </si>
  <si>
    <t>33% - 1,000 Units</t>
  </si>
  <si>
    <t>Total labor overhead (@ 178%)</t>
  </si>
  <si>
    <t>Engineering overhead (@ 140%)</t>
  </si>
  <si>
    <t>Administrative overhead (@ 7.5%)</t>
  </si>
  <si>
    <t>Total cost</t>
  </si>
  <si>
    <t>Profit, 10%</t>
  </si>
  <si>
    <t>Bid price</t>
  </si>
  <si>
    <t>Exhibit 3: Unit Cost Experience on 50 Cherokee Electronics Guidance Systems Manufactured Under the First Production Contract</t>
  </si>
  <si>
    <t>Total labor overhead (@ 165%)</t>
  </si>
  <si>
    <t>Engineering overhead (@ 140%*)</t>
  </si>
  <si>
    <t>**</t>
  </si>
  <si>
    <t>*</t>
  </si>
  <si>
    <t>* Note that the case states 135,830. This is a rounding error.</t>
  </si>
  <si>
    <t>50 Units</t>
  </si>
  <si>
    <t>Total labor overhead (@ 185/178/165)</t>
  </si>
  <si>
    <t>Engineering overhead (@ 140%/150%)</t>
  </si>
  <si>
    <t>Administrative overhead (@ 10%/7.5%)</t>
  </si>
  <si>
    <t>Exhibit 4: Unit Cost Estimates (made in May 1986) of Work to be Performed Under the Second Production Contract for Cherokee Electronics Guidance Systems</t>
  </si>
  <si>
    <t>in %</t>
  </si>
  <si>
    <t>serious</t>
  </si>
  <si>
    <t>proportional</t>
  </si>
  <si>
    <t>increase overhead explains 13%</t>
  </si>
  <si>
    <t>Comment</t>
  </si>
  <si>
    <t>Quantity</t>
  </si>
  <si>
    <t>à 500</t>
  </si>
  <si>
    <t xml:space="preserve"> </t>
  </si>
  <si>
    <t>Factors</t>
  </si>
  <si>
    <t>-0.5% per 500 units</t>
  </si>
  <si>
    <t>+1% per 500 units</t>
  </si>
  <si>
    <t>constant $660</t>
  </si>
  <si>
    <t>fixed $5655</t>
  </si>
  <si>
    <t>calc</t>
  </si>
  <si>
    <t>overhead 165%</t>
  </si>
  <si>
    <t>admin 7,5%</t>
  </si>
  <si>
    <t>service 2,5%</t>
  </si>
  <si>
    <t>eng overhead 140%</t>
  </si>
  <si>
    <t>flat $ 7455</t>
  </si>
  <si>
    <t>** Please be aware the case states 139,495. That might be a rounding error.</t>
  </si>
  <si>
    <t>Profit, 12%</t>
  </si>
  <si>
    <t>Difference to bid in 2nd round</t>
  </si>
  <si>
    <t>* Note that the case states 154%. However, the figures in the exhibit imply a rate of 140%.</t>
  </si>
  <si>
    <t>Exhibit 4: Unit Cost Estimates of Work to be Performed Under the Second Production Contract for Cherokee Electronics Guidance Systems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</si>
</sst>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\ _€_-;\-* #,##0.00\ _€_-;_-* &quot;-&quot;??\ _€_-;_-@_-"/>
    <numFmt numFmtId="164" formatCode="[$$-409]#,##0"/>
    <numFmt numFmtId="165" formatCode="0.0%"/>
    <numFmt numFmtId="166" formatCode="_-[$$-409]* #,##0_ ;_-[$$-409]* \-#,##0\ ;_-[$$-409]* &quot;-&quot;??_ ;_-@_ "/>
    <numFmt numFmtId="167" formatCode="_-* #,##0\ _€_-;\-* #,##0\ _€_-;_-* &quot;-&quot;??\ _€_-;_-@_-"/>
    <numFmt numFmtId="168" formatCode="0.00000%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9"/>
      <color indexed="81"/>
      <name val="Calibri"/>
      <family val="2"/>
    </font>
    <font>
      <b/>
      <sz val="9"/>
      <color indexed="81"/>
      <name val="Calibri"/>
      <family val="2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indexed="12"/>
      <name val="Calibri"/>
      <family val="2"/>
      <scheme val="minor"/>
    </font>
    <font>
      <sz val="11"/>
      <color indexed="12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theme="0" tint="-0.499984740745262"/>
      </left>
      <right/>
      <top/>
      <bottom style="thin">
        <color auto="1"/>
      </bottom>
      <diagonal/>
    </border>
    <border>
      <left/>
      <right style="thin">
        <color theme="0" tint="-0.499984740745262"/>
      </right>
      <top/>
      <bottom style="thin">
        <color auto="1"/>
      </bottom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double">
        <color auto="1"/>
      </bottom>
      <diagonal/>
    </border>
  </borders>
  <cellStyleXfs count="175">
    <xf numFmtId="0" fontId="0" fillId="0" borderId="0"/>
    <xf numFmtId="9" fontId="2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43" fontId="2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119">
    <xf numFmtId="0" fontId="0" fillId="0" borderId="0" xfId="0"/>
    <xf numFmtId="0" fontId="0" fillId="0" borderId="0" xfId="0" quotePrefix="1"/>
    <xf numFmtId="0" fontId="1" fillId="0" borderId="0" xfId="0" applyFont="1"/>
    <xf numFmtId="164" fontId="0" fillId="0" borderId="2" xfId="0" applyNumberFormat="1" applyBorder="1"/>
    <xf numFmtId="164" fontId="0" fillId="0" borderId="0" xfId="0" applyNumberFormat="1" applyBorder="1"/>
    <xf numFmtId="0" fontId="0" fillId="0" borderId="3" xfId="0" applyBorder="1"/>
    <xf numFmtId="164" fontId="0" fillId="0" borderId="6" xfId="0" applyNumberFormat="1" applyBorder="1"/>
    <xf numFmtId="0" fontId="1" fillId="0" borderId="5" xfId="0" applyFont="1" applyBorder="1"/>
    <xf numFmtId="0" fontId="0" fillId="0" borderId="5" xfId="0" applyBorder="1"/>
    <xf numFmtId="164" fontId="0" fillId="0" borderId="9" xfId="0" applyNumberFormat="1" applyBorder="1"/>
    <xf numFmtId="164" fontId="0" fillId="0" borderId="10" xfId="0" applyNumberFormat="1" applyBorder="1"/>
    <xf numFmtId="0" fontId="0" fillId="2" borderId="0" xfId="0" applyFill="1"/>
    <xf numFmtId="164" fontId="0" fillId="2" borderId="2" xfId="0" applyNumberFormat="1" applyFill="1" applyBorder="1"/>
    <xf numFmtId="164" fontId="0" fillId="2" borderId="6" xfId="0" applyNumberFormat="1" applyFill="1" applyBorder="1"/>
    <xf numFmtId="164" fontId="0" fillId="2" borderId="0" xfId="0" applyNumberFormat="1" applyFill="1" applyBorder="1"/>
    <xf numFmtId="164" fontId="0" fillId="2" borderId="9" xfId="0" applyNumberFormat="1" applyFill="1" applyBorder="1"/>
    <xf numFmtId="164" fontId="0" fillId="2" borderId="10" xfId="0" applyNumberFormat="1" applyFill="1" applyBorder="1"/>
    <xf numFmtId="0" fontId="0" fillId="2" borderId="0" xfId="0" quotePrefix="1" applyFill="1"/>
    <xf numFmtId="164" fontId="0" fillId="2" borderId="3" xfId="0" applyNumberFormat="1" applyFill="1" applyBorder="1"/>
    <xf numFmtId="164" fontId="0" fillId="2" borderId="7" xfId="0" applyNumberFormat="1" applyFill="1" applyBorder="1"/>
    <xf numFmtId="164" fontId="0" fillId="2" borderId="1" xfId="0" applyNumberFormat="1" applyFill="1" applyBorder="1"/>
    <xf numFmtId="164" fontId="0" fillId="2" borderId="5" xfId="0" applyNumberFormat="1" applyFill="1" applyBorder="1"/>
    <xf numFmtId="164" fontId="0" fillId="2" borderId="8" xfId="0" applyNumberFormat="1" applyFill="1" applyBorder="1"/>
    <xf numFmtId="0" fontId="0" fillId="2" borderId="2" xfId="0" applyFill="1" applyBorder="1"/>
    <xf numFmtId="0" fontId="0" fillId="2" borderId="6" xfId="0" applyFill="1" applyBorder="1"/>
    <xf numFmtId="164" fontId="1" fillId="0" borderId="2" xfId="0" applyNumberFormat="1" applyFont="1" applyBorder="1"/>
    <xf numFmtId="164" fontId="1" fillId="0" borderId="6" xfId="0" applyNumberFormat="1" applyFont="1" applyBorder="1"/>
    <xf numFmtId="164" fontId="1" fillId="0" borderId="3" xfId="0" applyNumberFormat="1" applyFont="1" applyBorder="1"/>
    <xf numFmtId="164" fontId="1" fillId="0" borderId="1" xfId="0" applyNumberFormat="1" applyFont="1" applyBorder="1"/>
    <xf numFmtId="164" fontId="1" fillId="0" borderId="7" xfId="0" applyNumberFormat="1" applyFont="1" applyBorder="1"/>
    <xf numFmtId="164" fontId="1" fillId="0" borderId="8" xfId="0" applyNumberFormat="1" applyFont="1" applyBorder="1"/>
    <xf numFmtId="164" fontId="1" fillId="0" borderId="5" xfId="0" applyNumberFormat="1" applyFont="1" applyBorder="1"/>
    <xf numFmtId="164" fontId="1" fillId="0" borderId="0" xfId="0" applyNumberFormat="1" applyFont="1" applyBorder="1"/>
    <xf numFmtId="164" fontId="1" fillId="0" borderId="9" xfId="0" applyNumberFormat="1" applyFont="1" applyBorder="1"/>
    <xf numFmtId="164" fontId="1" fillId="0" borderId="10" xfId="0" applyNumberFormat="1" applyFont="1" applyBorder="1"/>
    <xf numFmtId="0" fontId="1" fillId="2" borderId="0" xfId="0" applyFont="1" applyFill="1"/>
    <xf numFmtId="164" fontId="1" fillId="2" borderId="2" xfId="0" applyNumberFormat="1" applyFont="1" applyFill="1" applyBorder="1"/>
    <xf numFmtId="164" fontId="1" fillId="2" borderId="0" xfId="0" applyNumberFormat="1" applyFont="1" applyFill="1" applyBorder="1"/>
    <xf numFmtId="164" fontId="1" fillId="2" borderId="9" xfId="0" applyNumberFormat="1" applyFont="1" applyFill="1" applyBorder="1"/>
    <xf numFmtId="164" fontId="1" fillId="3" borderId="6" xfId="0" applyNumberFormat="1" applyFont="1" applyFill="1" applyBorder="1"/>
    <xf numFmtId="164" fontId="1" fillId="3" borderId="1" xfId="0" applyNumberFormat="1" applyFont="1" applyFill="1" applyBorder="1"/>
    <xf numFmtId="0" fontId="7" fillId="0" borderId="13" xfId="0" applyFont="1" applyBorder="1" applyAlignment="1">
      <alignment wrapText="1"/>
    </xf>
    <xf numFmtId="0" fontId="7" fillId="0" borderId="12" xfId="0" applyFont="1" applyBorder="1" applyAlignment="1">
      <alignment wrapText="1"/>
    </xf>
    <xf numFmtId="0" fontId="7" fillId="0" borderId="12" xfId="0" applyFont="1" applyBorder="1"/>
    <xf numFmtId="0" fontId="8" fillId="0" borderId="3" xfId="0" applyFont="1" applyBorder="1"/>
    <xf numFmtId="0" fontId="8" fillId="0" borderId="5" xfId="0" applyFont="1" applyBorder="1"/>
    <xf numFmtId="164" fontId="8" fillId="0" borderId="2" xfId="0" applyNumberFormat="1" applyFont="1" applyBorder="1"/>
    <xf numFmtId="9" fontId="8" fillId="0" borderId="6" xfId="1" applyFont="1" applyBorder="1"/>
    <xf numFmtId="0" fontId="8" fillId="0" borderId="4" xfId="0" applyFont="1" applyBorder="1"/>
    <xf numFmtId="0" fontId="8" fillId="0" borderId="2" xfId="0" applyFont="1" applyBorder="1"/>
    <xf numFmtId="0" fontId="7" fillId="0" borderId="4" xfId="0" applyFont="1" applyBorder="1"/>
    <xf numFmtId="164" fontId="8" fillId="0" borderId="3" xfId="0" applyNumberFormat="1" applyFont="1" applyBorder="1"/>
    <xf numFmtId="9" fontId="8" fillId="0" borderId="5" xfId="1" applyFont="1" applyBorder="1"/>
    <xf numFmtId="0" fontId="8" fillId="0" borderId="11" xfId="0" applyFont="1" applyBorder="1"/>
    <xf numFmtId="165" fontId="0" fillId="0" borderId="0" xfId="1" applyNumberFormat="1" applyFont="1"/>
    <xf numFmtId="166" fontId="1" fillId="4" borderId="0" xfId="0" applyNumberFormat="1" applyFont="1" applyFill="1" applyBorder="1"/>
    <xf numFmtId="0" fontId="0" fillId="5" borderId="0" xfId="0" applyFill="1"/>
    <xf numFmtId="164" fontId="9" fillId="2" borderId="6" xfId="0" applyNumberFormat="1" applyFont="1" applyFill="1" applyBorder="1"/>
    <xf numFmtId="164" fontId="9" fillId="2" borderId="0" xfId="0" applyNumberFormat="1" applyFont="1" applyFill="1" applyBorder="1"/>
    <xf numFmtId="164" fontId="9" fillId="2" borderId="10" xfId="0" applyNumberFormat="1" applyFont="1" applyFill="1" applyBorder="1"/>
    <xf numFmtId="164" fontId="10" fillId="2" borderId="2" xfId="0" applyNumberFormat="1" applyFont="1" applyFill="1" applyBorder="1"/>
    <xf numFmtId="164" fontId="10" fillId="0" borderId="2" xfId="0" applyNumberFormat="1" applyFont="1" applyBorder="1"/>
    <xf numFmtId="164" fontId="10" fillId="2" borderId="3" xfId="0" applyNumberFormat="1" applyFont="1" applyFill="1" applyBorder="1"/>
    <xf numFmtId="164" fontId="10" fillId="2" borderId="9" xfId="0" applyNumberFormat="1" applyFont="1" applyFill="1" applyBorder="1"/>
    <xf numFmtId="164" fontId="10" fillId="0" borderId="9" xfId="0" applyNumberFormat="1" applyFont="1" applyBorder="1"/>
    <xf numFmtId="164" fontId="10" fillId="2" borderId="7" xfId="0" applyNumberFormat="1" applyFont="1" applyFill="1" applyBorder="1"/>
    <xf numFmtId="164" fontId="10" fillId="2" borderId="0" xfId="0" applyNumberFormat="1" applyFont="1" applyFill="1" applyBorder="1"/>
    <xf numFmtId="164" fontId="10" fillId="0" borderId="0" xfId="0" applyNumberFormat="1" applyFont="1" applyBorder="1"/>
    <xf numFmtId="164" fontId="10" fillId="2" borderId="1" xfId="0" applyNumberFormat="1" applyFont="1" applyFill="1" applyBorder="1"/>
    <xf numFmtId="165" fontId="0" fillId="0" borderId="0" xfId="0" applyNumberFormat="1"/>
    <xf numFmtId="10" fontId="0" fillId="0" borderId="0" xfId="1" applyNumberFormat="1" applyFont="1"/>
    <xf numFmtId="10" fontId="2" fillId="0" borderId="0" xfId="1" applyNumberFormat="1" applyFont="1"/>
    <xf numFmtId="0" fontId="0" fillId="4" borderId="0" xfId="0" applyFill="1"/>
    <xf numFmtId="0" fontId="10" fillId="4" borderId="0" xfId="0" applyFont="1" applyFill="1"/>
    <xf numFmtId="165" fontId="1" fillId="4" borderId="0" xfId="1" applyNumberFormat="1" applyFont="1" applyFill="1" applyBorder="1"/>
    <xf numFmtId="166" fontId="9" fillId="4" borderId="0" xfId="0" applyNumberFormat="1" applyFont="1" applyFill="1" applyBorder="1"/>
    <xf numFmtId="10" fontId="2" fillId="4" borderId="0" xfId="1" applyNumberFormat="1" applyFont="1" applyFill="1" applyBorder="1"/>
    <xf numFmtId="10" fontId="10" fillId="4" borderId="0" xfId="1" applyNumberFormat="1" applyFont="1" applyFill="1" applyBorder="1"/>
    <xf numFmtId="166" fontId="0" fillId="4" borderId="0" xfId="0" applyNumberFormat="1" applyFont="1" applyFill="1" applyBorder="1"/>
    <xf numFmtId="166" fontId="0" fillId="4" borderId="0" xfId="0" quotePrefix="1" applyNumberFormat="1" applyFont="1" applyFill="1" applyBorder="1"/>
    <xf numFmtId="166" fontId="10" fillId="4" borderId="0" xfId="0" quotePrefix="1" applyNumberFormat="1" applyFont="1" applyFill="1" applyBorder="1"/>
    <xf numFmtId="10" fontId="0" fillId="4" borderId="0" xfId="1" quotePrefix="1" applyNumberFormat="1" applyFont="1" applyFill="1" applyBorder="1"/>
    <xf numFmtId="10" fontId="10" fillId="4" borderId="0" xfId="1" quotePrefix="1" applyNumberFormat="1" applyFont="1" applyFill="1" applyBorder="1"/>
    <xf numFmtId="166" fontId="0" fillId="4" borderId="1" xfId="0" quotePrefix="1" applyNumberFormat="1" applyFont="1" applyFill="1" applyBorder="1"/>
    <xf numFmtId="166" fontId="10" fillId="4" borderId="1" xfId="0" quotePrefix="1" applyNumberFormat="1" applyFont="1" applyFill="1" applyBorder="1"/>
    <xf numFmtId="166" fontId="11" fillId="4" borderId="1" xfId="0" quotePrefix="1" applyNumberFormat="1" applyFont="1" applyFill="1" applyBorder="1"/>
    <xf numFmtId="166" fontId="0" fillId="4" borderId="1" xfId="0" applyNumberFormat="1" applyFont="1" applyFill="1" applyBorder="1"/>
    <xf numFmtId="9" fontId="10" fillId="4" borderId="1" xfId="1" applyFont="1" applyFill="1" applyBorder="1"/>
    <xf numFmtId="166" fontId="11" fillId="4" borderId="1" xfId="0" applyNumberFormat="1" applyFont="1" applyFill="1" applyBorder="1"/>
    <xf numFmtId="166" fontId="10" fillId="4" borderId="0" xfId="0" applyNumberFormat="1" applyFont="1" applyFill="1" applyBorder="1"/>
    <xf numFmtId="166" fontId="11" fillId="4" borderId="0" xfId="0" applyNumberFormat="1" applyFont="1" applyFill="1" applyBorder="1"/>
    <xf numFmtId="166" fontId="0" fillId="4" borderId="14" xfId="0" applyNumberFormat="1" applyFont="1" applyFill="1" applyBorder="1"/>
    <xf numFmtId="165" fontId="10" fillId="4" borderId="14" xfId="1" applyNumberFormat="1" applyFont="1" applyFill="1" applyBorder="1"/>
    <xf numFmtId="165" fontId="10" fillId="4" borderId="1" xfId="1" applyNumberFormat="1" applyFont="1" applyFill="1" applyBorder="1"/>
    <xf numFmtId="166" fontId="0" fillId="4" borderId="15" xfId="0" applyNumberFormat="1" applyFont="1" applyFill="1" applyBorder="1"/>
    <xf numFmtId="165" fontId="10" fillId="4" borderId="15" xfId="1" applyNumberFormat="1" applyFont="1" applyFill="1" applyBorder="1"/>
    <xf numFmtId="0" fontId="0" fillId="4" borderId="1" xfId="0" applyFill="1" applyBorder="1"/>
    <xf numFmtId="0" fontId="9" fillId="4" borderId="1" xfId="0" applyFont="1" applyFill="1" applyBorder="1" applyAlignment="1"/>
    <xf numFmtId="0" fontId="1" fillId="4" borderId="1" xfId="0" applyFont="1" applyFill="1" applyBorder="1" applyAlignment="1"/>
    <xf numFmtId="164" fontId="10" fillId="4" borderId="0" xfId="0" applyNumberFormat="1" applyFont="1" applyFill="1"/>
    <xf numFmtId="164" fontId="0" fillId="4" borderId="0" xfId="0" applyNumberFormat="1" applyFill="1"/>
    <xf numFmtId="165" fontId="0" fillId="4" borderId="0" xfId="1" applyNumberFormat="1" applyFont="1" applyFill="1"/>
    <xf numFmtId="168" fontId="0" fillId="4" borderId="0" xfId="1" applyNumberFormat="1" applyFont="1" applyFill="1"/>
    <xf numFmtId="0" fontId="0" fillId="4" borderId="0" xfId="0" quotePrefix="1" applyFill="1"/>
    <xf numFmtId="164" fontId="10" fillId="4" borderId="1" xfId="0" applyNumberFormat="1" applyFont="1" applyFill="1" applyBorder="1"/>
    <xf numFmtId="164" fontId="0" fillId="4" borderId="1" xfId="0" applyNumberFormat="1" applyFill="1" applyBorder="1"/>
    <xf numFmtId="167" fontId="0" fillId="4" borderId="0" xfId="38" applyNumberFormat="1" applyFont="1" applyFill="1"/>
    <xf numFmtId="10" fontId="0" fillId="4" borderId="0" xfId="1" applyNumberFormat="1" applyFont="1" applyFill="1"/>
    <xf numFmtId="0" fontId="1" fillId="4" borderId="0" xfId="0" applyFont="1" applyFill="1"/>
    <xf numFmtId="165" fontId="0" fillId="4" borderId="0" xfId="0" quotePrefix="1" applyNumberFormat="1" applyFill="1"/>
    <xf numFmtId="0" fontId="1" fillId="0" borderId="13" xfId="0" applyFont="1" applyBorder="1" applyAlignment="1">
      <alignment horizontal="left" vertical="top" wrapText="1"/>
    </xf>
    <xf numFmtId="0" fontId="1" fillId="0" borderId="14" xfId="0" applyFont="1" applyBorder="1" applyAlignment="1">
      <alignment horizontal="left" vertical="top" wrapText="1"/>
    </xf>
    <xf numFmtId="0" fontId="1" fillId="0" borderId="1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0" fillId="4" borderId="1" xfId="0" applyFill="1" applyBorder="1" applyAlignment="1">
      <alignment horizontal="center"/>
    </xf>
  </cellXfs>
  <cellStyles count="175">
    <cellStyle name="Comma" xfId="38" builtinId="3"/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Normal" xfId="0" builtinId="0"/>
    <cellStyle name="Percent" xfId="1" builtinId="5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Relationship Id="rId8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Relationship Id="rId2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P52"/>
  <sheetViews>
    <sheetView showGridLines="0" topLeftCell="A34" zoomScale="110" zoomScaleNormal="110" zoomScalePageLayoutView="110" workbookViewId="0">
      <selection activeCell="A15" sqref="A15"/>
    </sheetView>
  </sheetViews>
  <sheetFormatPr baseColWidth="10" defaultRowHeight="14" outlineLevelRow="1" outlineLevelCol="1" x14ac:dyDescent="0"/>
  <cols>
    <col min="1" max="1" width="35.5" bestFit="1" customWidth="1"/>
    <col min="3" max="11" width="10.5" customWidth="1" outlineLevel="1"/>
    <col min="12" max="14" width="10.5" customWidth="1"/>
    <col min="15" max="17" width="12.5" bestFit="1" customWidth="1"/>
  </cols>
  <sheetData>
    <row r="2" spans="1:16" ht="124" customHeight="1">
      <c r="B2" s="110" t="s">
        <v>0</v>
      </c>
      <c r="C2" s="112"/>
      <c r="D2" s="110" t="s">
        <v>15</v>
      </c>
      <c r="E2" s="111"/>
      <c r="F2" s="111"/>
      <c r="G2" s="111"/>
      <c r="H2" s="111"/>
      <c r="I2" s="112"/>
      <c r="J2" s="110" t="s">
        <v>25</v>
      </c>
      <c r="K2" s="112"/>
      <c r="L2" s="110" t="s">
        <v>35</v>
      </c>
      <c r="M2" s="112"/>
      <c r="N2" s="41" t="s">
        <v>57</v>
      </c>
      <c r="O2" s="42" t="s">
        <v>36</v>
      </c>
      <c r="P2" s="43" t="s">
        <v>40</v>
      </c>
    </row>
    <row r="3" spans="1:16">
      <c r="B3" s="5"/>
      <c r="C3" s="7" t="s">
        <v>31</v>
      </c>
      <c r="D3" s="113" t="s">
        <v>16</v>
      </c>
      <c r="E3" s="114"/>
      <c r="F3" s="115" t="s">
        <v>17</v>
      </c>
      <c r="G3" s="116"/>
      <c r="H3" s="114" t="s">
        <v>18</v>
      </c>
      <c r="I3" s="117"/>
      <c r="J3" s="5"/>
      <c r="K3" s="8"/>
      <c r="L3" s="5"/>
      <c r="M3" s="8"/>
      <c r="N3" s="44"/>
      <c r="O3" s="45"/>
      <c r="P3" s="45"/>
    </row>
    <row r="4" spans="1:16">
      <c r="A4" s="35" t="s">
        <v>1</v>
      </c>
      <c r="B4" s="36"/>
      <c r="C4" s="57">
        <v>69585</v>
      </c>
      <c r="D4" s="36"/>
      <c r="E4" s="58">
        <v>71235</v>
      </c>
      <c r="F4" s="38"/>
      <c r="G4" s="59">
        <v>72300</v>
      </c>
      <c r="H4" s="37"/>
      <c r="I4" s="57">
        <v>73035</v>
      </c>
      <c r="J4" s="36"/>
      <c r="K4" s="57">
        <v>94230</v>
      </c>
      <c r="L4" s="36"/>
      <c r="M4" s="57">
        <v>72810</v>
      </c>
      <c r="N4" s="46">
        <f>M4-E4</f>
        <v>1575</v>
      </c>
      <c r="O4" s="47">
        <f>N4/E4</f>
        <v>2.2109917877447885E-2</v>
      </c>
      <c r="P4" s="48"/>
    </row>
    <row r="5" spans="1:16">
      <c r="A5" t="s">
        <v>3</v>
      </c>
      <c r="B5" s="3"/>
      <c r="C5" s="6"/>
      <c r="D5" s="3"/>
      <c r="E5" s="4"/>
      <c r="F5" s="9"/>
      <c r="G5" s="10"/>
      <c r="H5" s="4"/>
      <c r="I5" s="6"/>
      <c r="J5" s="3"/>
      <c r="K5" s="6"/>
      <c r="L5" s="3"/>
      <c r="M5" s="6"/>
      <c r="N5" s="49"/>
      <c r="O5" s="47"/>
      <c r="P5" s="48"/>
    </row>
    <row r="6" spans="1:16">
      <c r="A6" s="17" t="s">
        <v>12</v>
      </c>
      <c r="B6" s="60">
        <v>8985</v>
      </c>
      <c r="C6" s="13"/>
      <c r="D6" s="60">
        <v>870</v>
      </c>
      <c r="E6" s="14"/>
      <c r="F6" s="63">
        <v>930</v>
      </c>
      <c r="G6" s="16"/>
      <c r="H6" s="66">
        <v>1005</v>
      </c>
      <c r="I6" s="13"/>
      <c r="J6" s="60">
        <v>2130</v>
      </c>
      <c r="K6" s="13"/>
      <c r="L6" s="60">
        <v>270</v>
      </c>
      <c r="M6" s="13"/>
      <c r="N6" s="46">
        <f>L6-D6</f>
        <v>-600</v>
      </c>
      <c r="O6" s="47">
        <f>N6/D6</f>
        <v>-0.68965517241379315</v>
      </c>
      <c r="P6" s="48"/>
    </row>
    <row r="7" spans="1:16">
      <c r="A7" s="1" t="s">
        <v>13</v>
      </c>
      <c r="B7" s="61">
        <v>13320</v>
      </c>
      <c r="C7" s="6"/>
      <c r="D7" s="61">
        <v>7665</v>
      </c>
      <c r="E7" s="4"/>
      <c r="F7" s="64">
        <v>8325</v>
      </c>
      <c r="G7" s="10"/>
      <c r="H7" s="67">
        <v>8985</v>
      </c>
      <c r="I7" s="6"/>
      <c r="J7" s="61">
        <v>14055</v>
      </c>
      <c r="K7" s="6"/>
      <c r="L7" s="61">
        <v>7785</v>
      </c>
      <c r="M7" s="6"/>
      <c r="N7" s="46">
        <f t="shared" ref="N7:N10" si="0">L7-D7</f>
        <v>120</v>
      </c>
      <c r="O7" s="47">
        <f t="shared" ref="O7:O10" si="1">N7/D7</f>
        <v>1.5655577299412915E-2</v>
      </c>
      <c r="P7" s="48"/>
    </row>
    <row r="8" spans="1:16">
      <c r="A8" s="17" t="s">
        <v>14</v>
      </c>
      <c r="B8" s="62">
        <v>5655</v>
      </c>
      <c r="C8" s="13"/>
      <c r="D8" s="62">
        <v>2325</v>
      </c>
      <c r="E8" s="14"/>
      <c r="F8" s="65">
        <v>2670</v>
      </c>
      <c r="G8" s="16"/>
      <c r="H8" s="68">
        <v>3000</v>
      </c>
      <c r="I8" s="13"/>
      <c r="J8" s="62">
        <v>18645</v>
      </c>
      <c r="K8" s="13"/>
      <c r="L8" s="62">
        <v>5655</v>
      </c>
      <c r="M8" s="13"/>
      <c r="N8" s="46">
        <f t="shared" si="0"/>
        <v>3330</v>
      </c>
      <c r="O8" s="47">
        <f t="shared" si="1"/>
        <v>1.4322580645161291</v>
      </c>
      <c r="P8" s="50" t="s">
        <v>37</v>
      </c>
    </row>
    <row r="9" spans="1:16">
      <c r="A9" t="s">
        <v>2</v>
      </c>
      <c r="B9" s="3">
        <f>SUM(B6:B8)</f>
        <v>27960</v>
      </c>
      <c r="C9" s="6"/>
      <c r="D9" s="3">
        <f>SUM(D6:D8)</f>
        <v>10860</v>
      </c>
      <c r="E9" s="4"/>
      <c r="F9" s="9">
        <f>SUM(F6:F8)</f>
        <v>11925</v>
      </c>
      <c r="G9" s="10"/>
      <c r="H9" s="4">
        <f>SUM(H6:H8)</f>
        <v>12990</v>
      </c>
      <c r="I9" s="6"/>
      <c r="J9" s="3">
        <f>SUM(J6:J8)</f>
        <v>34830</v>
      </c>
      <c r="K9" s="6"/>
      <c r="L9" s="3">
        <f>SUM(L6:L8)</f>
        <v>13710</v>
      </c>
      <c r="M9" s="6"/>
      <c r="N9" s="46">
        <f t="shared" si="0"/>
        <v>2850</v>
      </c>
      <c r="O9" s="47">
        <f t="shared" si="1"/>
        <v>0.26243093922651933</v>
      </c>
      <c r="P9" s="48" t="s">
        <v>38</v>
      </c>
    </row>
    <row r="10" spans="1:16">
      <c r="A10" s="11" t="s">
        <v>32</v>
      </c>
      <c r="B10" s="12">
        <f>B9*185%</f>
        <v>51726</v>
      </c>
      <c r="C10" s="13"/>
      <c r="D10" s="12">
        <f>D9*178%</f>
        <v>19330.8</v>
      </c>
      <c r="E10" s="14"/>
      <c r="F10" s="15">
        <f>F9*178%</f>
        <v>21226.5</v>
      </c>
      <c r="G10" s="16"/>
      <c r="H10" s="14">
        <f>H9*178%</f>
        <v>23122.2</v>
      </c>
      <c r="I10" s="13"/>
      <c r="J10" s="12">
        <f>J9*165%</f>
        <v>57469.5</v>
      </c>
      <c r="K10" s="13"/>
      <c r="L10" s="12">
        <f>L9*165%</f>
        <v>22621.5</v>
      </c>
      <c r="M10" s="13"/>
      <c r="N10" s="46">
        <f t="shared" si="0"/>
        <v>3290.7000000000007</v>
      </c>
      <c r="O10" s="47">
        <f t="shared" si="1"/>
        <v>0.17023092681109944</v>
      </c>
      <c r="P10" s="48" t="s">
        <v>39</v>
      </c>
    </row>
    <row r="11" spans="1:16">
      <c r="A11" s="2" t="s">
        <v>4</v>
      </c>
      <c r="B11" s="25"/>
      <c r="C11" s="31">
        <f>B9+B10</f>
        <v>79686</v>
      </c>
      <c r="D11" s="25"/>
      <c r="E11" s="28">
        <f>D9+D10</f>
        <v>30190.799999999999</v>
      </c>
      <c r="F11" s="33"/>
      <c r="G11" s="30">
        <f>F9+F10</f>
        <v>33151.5</v>
      </c>
      <c r="H11" s="32"/>
      <c r="I11" s="31">
        <f>H9+H10</f>
        <v>36112.199999999997</v>
      </c>
      <c r="J11" s="25"/>
      <c r="K11" s="31">
        <f>J9+J10</f>
        <v>92299.5</v>
      </c>
      <c r="L11" s="25"/>
      <c r="M11" s="31">
        <f>L9+L10</f>
        <v>36331.5</v>
      </c>
      <c r="N11" s="46">
        <f t="shared" ref="N11:N21" si="2">M11-E11</f>
        <v>6140.7000000000007</v>
      </c>
      <c r="O11" s="47">
        <f>N11/E11</f>
        <v>0.20339639890297709</v>
      </c>
      <c r="P11" s="48"/>
    </row>
    <row r="12" spans="1:16">
      <c r="A12" s="11" t="s">
        <v>5</v>
      </c>
      <c r="B12" s="12"/>
      <c r="C12" s="13">
        <f>C4+C11</f>
        <v>149271</v>
      </c>
      <c r="D12" s="12"/>
      <c r="E12" s="14">
        <f>E4+E11</f>
        <v>101425.8</v>
      </c>
      <c r="F12" s="15"/>
      <c r="G12" s="16">
        <f>G4+G11</f>
        <v>105451.5</v>
      </c>
      <c r="H12" s="14"/>
      <c r="I12" s="13">
        <f>I4+I11</f>
        <v>109147.2</v>
      </c>
      <c r="J12" s="12"/>
      <c r="K12" s="13">
        <f>K4+K11</f>
        <v>186529.5</v>
      </c>
      <c r="L12" s="12"/>
      <c r="M12" s="13">
        <f>M4+M11</f>
        <v>109141.5</v>
      </c>
      <c r="N12" s="46">
        <f t="shared" si="2"/>
        <v>7715.6999999999971</v>
      </c>
      <c r="O12" s="47">
        <f>N12/E12</f>
        <v>7.6072360287027532E-2</v>
      </c>
      <c r="P12" s="48"/>
    </row>
    <row r="13" spans="1:16">
      <c r="A13" t="s">
        <v>6</v>
      </c>
      <c r="B13" s="61">
        <v>7455</v>
      </c>
      <c r="C13" s="6"/>
      <c r="D13" s="61">
        <v>4065</v>
      </c>
      <c r="E13" s="4"/>
      <c r="F13" s="64">
        <v>4725</v>
      </c>
      <c r="G13" s="10"/>
      <c r="H13" s="67">
        <v>5730</v>
      </c>
      <c r="I13" s="6"/>
      <c r="J13" s="61">
        <v>11460</v>
      </c>
      <c r="K13" s="6"/>
      <c r="L13" s="61">
        <v>7455</v>
      </c>
      <c r="M13" s="6"/>
      <c r="N13" s="46">
        <f t="shared" ref="N13:N14" si="3">L13-D13</f>
        <v>3390</v>
      </c>
      <c r="O13" s="47">
        <f t="shared" ref="O13:O14" si="4">N13/D13</f>
        <v>0.83394833948339486</v>
      </c>
      <c r="P13" s="50" t="s">
        <v>37</v>
      </c>
    </row>
    <row r="14" spans="1:16">
      <c r="A14" s="11" t="s">
        <v>33</v>
      </c>
      <c r="B14" s="18">
        <f>B13*150%</f>
        <v>11182.5</v>
      </c>
      <c r="C14" s="13"/>
      <c r="D14" s="18">
        <f>D13*140%</f>
        <v>5691</v>
      </c>
      <c r="E14" s="14"/>
      <c r="F14" s="19">
        <f>F13*140%</f>
        <v>6615</v>
      </c>
      <c r="G14" s="16"/>
      <c r="H14" s="20">
        <f>H13*140%</f>
        <v>8021.9999999999991</v>
      </c>
      <c r="I14" s="13"/>
      <c r="J14" s="18">
        <f>J13*150%</f>
        <v>17190</v>
      </c>
      <c r="K14" s="13"/>
      <c r="L14" s="18">
        <f>L13*140%</f>
        <v>10437</v>
      </c>
      <c r="M14" s="13"/>
      <c r="N14" s="46">
        <f t="shared" si="3"/>
        <v>4746</v>
      </c>
      <c r="O14" s="47">
        <f t="shared" si="4"/>
        <v>0.83394833948339486</v>
      </c>
      <c r="P14" s="48" t="s">
        <v>38</v>
      </c>
    </row>
    <row r="15" spans="1:16">
      <c r="A15" t="s">
        <v>8</v>
      </c>
      <c r="B15" s="3"/>
      <c r="C15" s="6">
        <f>B13+B14</f>
        <v>18637.5</v>
      </c>
      <c r="D15" s="3"/>
      <c r="E15" s="4">
        <f>D13+D14</f>
        <v>9756</v>
      </c>
      <c r="F15" s="9"/>
      <c r="G15" s="10">
        <f>F13+F14</f>
        <v>11340</v>
      </c>
      <c r="H15" s="4"/>
      <c r="I15" s="6">
        <f>H13+H14</f>
        <v>13752</v>
      </c>
      <c r="J15" s="3"/>
      <c r="K15" s="6">
        <f>J13+J14</f>
        <v>28650</v>
      </c>
      <c r="L15" s="3"/>
      <c r="M15" s="6">
        <f>L13+L14</f>
        <v>17892</v>
      </c>
      <c r="N15" s="46">
        <f t="shared" si="2"/>
        <v>8136</v>
      </c>
      <c r="O15" s="47">
        <f t="shared" ref="O15:O21" si="5">N15/E15</f>
        <v>0.83394833948339486</v>
      </c>
      <c r="P15" s="48" t="s">
        <v>38</v>
      </c>
    </row>
    <row r="16" spans="1:16">
      <c r="A16" s="11" t="s">
        <v>9</v>
      </c>
      <c r="B16" s="12"/>
      <c r="C16" s="21">
        <f>C12*2.5%</f>
        <v>3731.7750000000001</v>
      </c>
      <c r="D16" s="12"/>
      <c r="E16" s="20">
        <f>E12*2.5%</f>
        <v>2535.6450000000004</v>
      </c>
      <c r="F16" s="15"/>
      <c r="G16" s="22">
        <f>G12*2.5%</f>
        <v>2636.2875000000004</v>
      </c>
      <c r="H16" s="14"/>
      <c r="I16" s="21">
        <f>I12*2.5%</f>
        <v>2728.6800000000003</v>
      </c>
      <c r="J16" s="12"/>
      <c r="K16" s="21">
        <f>K12*2.5%</f>
        <v>4663.2375000000002</v>
      </c>
      <c r="L16" s="12"/>
      <c r="M16" s="21">
        <f>M12*2.5%</f>
        <v>2728.5375000000004</v>
      </c>
      <c r="N16" s="46">
        <f t="shared" si="2"/>
        <v>192.89249999999993</v>
      </c>
      <c r="O16" s="47">
        <f t="shared" si="5"/>
        <v>7.6072360287027518E-2</v>
      </c>
      <c r="P16" s="48"/>
    </row>
    <row r="17" spans="1:16">
      <c r="A17" s="2" t="s">
        <v>10</v>
      </c>
      <c r="B17" s="25"/>
      <c r="C17" s="26">
        <f>C15+C16+C12</f>
        <v>171640.27499999999</v>
      </c>
      <c r="D17" s="25"/>
      <c r="E17" s="32">
        <f>E12+E15+E16</f>
        <v>113717.44500000001</v>
      </c>
      <c r="F17" s="33"/>
      <c r="G17" s="34">
        <f>G12+G15+G16</f>
        <v>119427.78750000001</v>
      </c>
      <c r="H17" s="32"/>
      <c r="I17" s="26">
        <f>I12+I15+I16</f>
        <v>125627.88</v>
      </c>
      <c r="J17" s="25"/>
      <c r="K17" s="26">
        <f>K12+K15+K16</f>
        <v>219842.73749999999</v>
      </c>
      <c r="L17" s="25"/>
      <c r="M17" s="26">
        <f>M12+M15+M16</f>
        <v>129762.03750000001</v>
      </c>
      <c r="N17" s="46">
        <f t="shared" si="2"/>
        <v>16044.592499999999</v>
      </c>
      <c r="O17" s="47">
        <f t="shared" si="5"/>
        <v>0.14109174278405567</v>
      </c>
      <c r="P17" s="48" t="s">
        <v>38</v>
      </c>
    </row>
    <row r="18" spans="1:16">
      <c r="A18" s="11" t="s">
        <v>34</v>
      </c>
      <c r="B18" s="12"/>
      <c r="C18" s="21">
        <f>C17*10%</f>
        <v>17164.0275</v>
      </c>
      <c r="D18" s="12"/>
      <c r="E18" s="20">
        <f>E17*7.5%</f>
        <v>8528.8083750000005</v>
      </c>
      <c r="F18" s="15"/>
      <c r="G18" s="22">
        <f>G17*7.5%</f>
        <v>8957.0840625000001</v>
      </c>
      <c r="H18" s="14"/>
      <c r="I18" s="21">
        <f>I17*7.5%</f>
        <v>9422.0910000000003</v>
      </c>
      <c r="J18" s="12"/>
      <c r="K18" s="21">
        <f>K17*7.5%</f>
        <v>16488.205312499998</v>
      </c>
      <c r="L18" s="12"/>
      <c r="M18" s="21">
        <f>M17*7.5%</f>
        <v>9732.1528125000004</v>
      </c>
      <c r="N18" s="46">
        <f t="shared" si="2"/>
        <v>1203.3444374999999</v>
      </c>
      <c r="O18" s="47">
        <f t="shared" si="5"/>
        <v>0.14109174278405567</v>
      </c>
      <c r="P18" s="48" t="s">
        <v>38</v>
      </c>
    </row>
    <row r="19" spans="1:16">
      <c r="A19" s="2" t="s">
        <v>11</v>
      </c>
      <c r="B19" s="25"/>
      <c r="C19" s="39">
        <f>C17+C18</f>
        <v>188804.30249999999</v>
      </c>
      <c r="D19" s="25"/>
      <c r="E19" s="32">
        <f>E17+E18</f>
        <v>122246.253375</v>
      </c>
      <c r="F19" s="33"/>
      <c r="G19" s="34">
        <f>G17+G18</f>
        <v>128384.8715625</v>
      </c>
      <c r="H19" s="32"/>
      <c r="I19" s="26">
        <f>I17+I18</f>
        <v>135049.97100000002</v>
      </c>
      <c r="J19" s="25"/>
      <c r="K19" s="26">
        <f>K17+K18</f>
        <v>236330.9428125</v>
      </c>
      <c r="L19" s="25"/>
      <c r="M19" s="26">
        <f>M17+M18</f>
        <v>139494.1903125</v>
      </c>
      <c r="N19" s="46">
        <f t="shared" si="2"/>
        <v>17247.936937499995</v>
      </c>
      <c r="O19" s="47">
        <f t="shared" si="5"/>
        <v>0.14109174278405565</v>
      </c>
      <c r="P19" s="48" t="s">
        <v>38</v>
      </c>
    </row>
    <row r="20" spans="1:16">
      <c r="A20" s="11" t="s">
        <v>23</v>
      </c>
      <c r="B20" s="23"/>
      <c r="C20" s="24"/>
      <c r="D20" s="12"/>
      <c r="E20" s="20">
        <f>E21-E19</f>
        <v>13582.91704166666</v>
      </c>
      <c r="F20" s="15"/>
      <c r="G20" s="22">
        <f>G21-G19</f>
        <v>14264.98572916667</v>
      </c>
      <c r="H20" s="14"/>
      <c r="I20" s="21">
        <f>I21-I19</f>
        <v>15005.552333333326</v>
      </c>
      <c r="J20" s="23"/>
      <c r="K20" s="24"/>
      <c r="L20" s="23"/>
      <c r="M20" s="13">
        <f>M19/9</f>
        <v>15499.354479166666</v>
      </c>
      <c r="N20" s="46">
        <f t="shared" si="2"/>
        <v>1916.4374375000061</v>
      </c>
      <c r="O20" s="47">
        <f t="shared" si="5"/>
        <v>0.1410917427840562</v>
      </c>
      <c r="P20" s="48" t="s">
        <v>38</v>
      </c>
    </row>
    <row r="21" spans="1:16">
      <c r="A21" s="2" t="s">
        <v>24</v>
      </c>
      <c r="B21" s="5"/>
      <c r="C21" s="8"/>
      <c r="D21" s="27"/>
      <c r="E21" s="40">
        <f>E19/90%</f>
        <v>135829.17041666666</v>
      </c>
      <c r="F21" s="29" t="s">
        <v>29</v>
      </c>
      <c r="G21" s="30">
        <f>G19/90%</f>
        <v>142649.85729166667</v>
      </c>
      <c r="H21" s="28"/>
      <c r="I21" s="31">
        <f>I19/90%</f>
        <v>150055.52333333335</v>
      </c>
      <c r="J21" s="5"/>
      <c r="K21" s="8"/>
      <c r="L21" s="5"/>
      <c r="M21" s="31">
        <f>M19+M20</f>
        <v>154993.54479166667</v>
      </c>
      <c r="N21" s="51">
        <f t="shared" si="2"/>
        <v>19164.374375000014</v>
      </c>
      <c r="O21" s="52">
        <f t="shared" si="5"/>
        <v>0.14109174278405581</v>
      </c>
      <c r="P21" s="53" t="s">
        <v>38</v>
      </c>
    </row>
    <row r="23" spans="1:16">
      <c r="E23" t="s">
        <v>30</v>
      </c>
    </row>
    <row r="29" spans="1:16">
      <c r="F29" s="54"/>
      <c r="G29" s="54"/>
      <c r="H29" s="54"/>
      <c r="I29" s="54"/>
      <c r="J29" s="54"/>
      <c r="K29" s="69"/>
      <c r="L29" s="69"/>
      <c r="M29" s="69"/>
      <c r="N29" s="69"/>
    </row>
    <row r="30" spans="1:16">
      <c r="A30" s="72" t="s">
        <v>41</v>
      </c>
      <c r="B30" s="72"/>
      <c r="C30" s="73">
        <v>250</v>
      </c>
      <c r="D30" s="73">
        <v>500</v>
      </c>
      <c r="E30" s="73">
        <v>750</v>
      </c>
      <c r="F30" s="73">
        <v>1000</v>
      </c>
      <c r="G30" s="73">
        <v>1250</v>
      </c>
      <c r="H30" s="73">
        <v>1500</v>
      </c>
      <c r="I30" s="73">
        <v>1750</v>
      </c>
      <c r="J30" s="73">
        <v>2000</v>
      </c>
      <c r="K30" s="73">
        <v>2250</v>
      </c>
      <c r="L30" s="73">
        <v>2500</v>
      </c>
      <c r="M30" s="73">
        <v>2750</v>
      </c>
      <c r="N30" s="73">
        <v>3000</v>
      </c>
    </row>
    <row r="31" spans="1:16">
      <c r="A31" s="55" t="s">
        <v>1</v>
      </c>
      <c r="B31" s="74"/>
      <c r="C31" s="55">
        <f t="shared" ref="C31:H31" si="6">D31*(1+C32)</f>
        <v>78055.479276843529</v>
      </c>
      <c r="D31" s="55">
        <f t="shared" si="6"/>
        <v>77860.827208821473</v>
      </c>
      <c r="E31" s="55">
        <f t="shared" si="6"/>
        <v>77473.459909275101</v>
      </c>
      <c r="F31" s="55">
        <f t="shared" si="6"/>
        <v>76896.73440126561</v>
      </c>
      <c r="G31" s="55">
        <f t="shared" si="6"/>
        <v>76135.380595312483</v>
      </c>
      <c r="H31" s="55">
        <f t="shared" si="6"/>
        <v>75195.437624999991</v>
      </c>
      <c r="I31" s="55">
        <f>J31*(1+I32)</f>
        <v>74084.175000000003</v>
      </c>
      <c r="J31" s="75">
        <v>72810</v>
      </c>
      <c r="K31" s="55">
        <f>J31*(1-K32)</f>
        <v>71353.8</v>
      </c>
      <c r="L31" s="55">
        <f t="shared" ref="L31:N31" si="7">K31*(1-L32)</f>
        <v>69748.339500000002</v>
      </c>
      <c r="M31" s="55">
        <f t="shared" si="7"/>
        <v>68004.631012500002</v>
      </c>
      <c r="N31" s="55">
        <f t="shared" si="7"/>
        <v>66134.503659656257</v>
      </c>
    </row>
    <row r="32" spans="1:16" s="71" customFormat="1" outlineLevel="1">
      <c r="A32" s="76"/>
      <c r="B32" s="76"/>
      <c r="C32" s="76">
        <f t="shared" ref="C32:G32" si="8">D32-0.25%</f>
        <v>2.4999999999999992E-3</v>
      </c>
      <c r="D32" s="76">
        <f t="shared" si="8"/>
        <v>4.9999999999999992E-3</v>
      </c>
      <c r="E32" s="76">
        <f t="shared" si="8"/>
        <v>7.4999999999999997E-3</v>
      </c>
      <c r="F32" s="76">
        <f t="shared" si="8"/>
        <v>0.01</v>
      </c>
      <c r="G32" s="76">
        <f t="shared" si="8"/>
        <v>1.2500000000000001E-2</v>
      </c>
      <c r="H32" s="76">
        <f>I32-0.25%</f>
        <v>1.5000000000000001E-2</v>
      </c>
      <c r="I32" s="77">
        <v>1.7500000000000002E-2</v>
      </c>
      <c r="J32" s="77"/>
      <c r="K32" s="77">
        <v>0.02</v>
      </c>
      <c r="L32" s="76">
        <f>K32+0.25%</f>
        <v>2.2499999999999999E-2</v>
      </c>
      <c r="M32" s="76">
        <f t="shared" ref="M32:N32" si="9">L32+0.25%</f>
        <v>2.4999999999999998E-2</v>
      </c>
      <c r="N32" s="76">
        <f t="shared" si="9"/>
        <v>2.7499999999999997E-2</v>
      </c>
    </row>
    <row r="33" spans="1:14">
      <c r="A33" s="78" t="s">
        <v>3</v>
      </c>
      <c r="B33" s="78"/>
      <c r="C33" s="78"/>
      <c r="D33" s="78"/>
      <c r="E33" s="78"/>
      <c r="F33" s="78"/>
      <c r="G33" s="78"/>
      <c r="H33" s="78"/>
      <c r="I33" s="78"/>
      <c r="J33" s="78"/>
      <c r="K33" s="78"/>
      <c r="L33" s="78"/>
      <c r="M33" s="78"/>
      <c r="N33" s="78"/>
    </row>
    <row r="34" spans="1:14">
      <c r="A34" s="79" t="s">
        <v>12</v>
      </c>
      <c r="B34" s="79"/>
      <c r="C34" s="79">
        <f t="shared" ref="C34:H34" si="10">D34*(1+C35)</f>
        <v>447.80761111624651</v>
      </c>
      <c r="D34" s="79">
        <f t="shared" si="10"/>
        <v>410.83267074884998</v>
      </c>
      <c r="E34" s="79">
        <f t="shared" si="10"/>
        <v>378.64762280999997</v>
      </c>
      <c r="F34" s="79">
        <f t="shared" si="10"/>
        <v>350.59965074999997</v>
      </c>
      <c r="G34" s="79">
        <f t="shared" si="10"/>
        <v>326.13920999999999</v>
      </c>
      <c r="H34" s="79">
        <f t="shared" si="10"/>
        <v>304.803</v>
      </c>
      <c r="I34" s="79">
        <f>J34*(1+I35)</f>
        <v>286.2</v>
      </c>
      <c r="J34" s="80">
        <v>270</v>
      </c>
      <c r="K34" s="79">
        <f>J34*(1-K35)</f>
        <v>256.5</v>
      </c>
      <c r="L34" s="79">
        <f t="shared" ref="L34:N34" si="11">K34*(1-L35)</f>
        <v>244.95749999999998</v>
      </c>
      <c r="M34" s="79">
        <f t="shared" si="11"/>
        <v>235.15919999999997</v>
      </c>
      <c r="N34" s="79">
        <f t="shared" si="11"/>
        <v>226.92862799999997</v>
      </c>
    </row>
    <row r="35" spans="1:14" s="70" customFormat="1" outlineLevel="1">
      <c r="A35" s="81"/>
      <c r="B35" s="81"/>
      <c r="C35" s="81">
        <f t="shared" ref="C35:G35" si="12">D35+0.5%</f>
        <v>9.0000000000000024E-2</v>
      </c>
      <c r="D35" s="81">
        <f t="shared" si="12"/>
        <v>8.500000000000002E-2</v>
      </c>
      <c r="E35" s="81">
        <f t="shared" si="12"/>
        <v>8.0000000000000016E-2</v>
      </c>
      <c r="F35" s="81">
        <f t="shared" si="12"/>
        <v>7.5000000000000011E-2</v>
      </c>
      <c r="G35" s="81">
        <f t="shared" si="12"/>
        <v>7.0000000000000007E-2</v>
      </c>
      <c r="H35" s="81">
        <f>I35+0.5%</f>
        <v>6.5000000000000002E-2</v>
      </c>
      <c r="I35" s="82">
        <v>0.06</v>
      </c>
      <c r="J35" s="82"/>
      <c r="K35" s="82">
        <v>0.05</v>
      </c>
      <c r="L35" s="81">
        <f>K35-0.5%</f>
        <v>4.5000000000000005E-2</v>
      </c>
      <c r="M35" s="81">
        <f t="shared" ref="M35:N35" si="13">L35-0.5%</f>
        <v>4.0000000000000008E-2</v>
      </c>
      <c r="N35" s="81">
        <f t="shared" si="13"/>
        <v>3.500000000000001E-2</v>
      </c>
    </row>
    <row r="36" spans="1:14">
      <c r="A36" s="79" t="s">
        <v>13</v>
      </c>
      <c r="B36" s="79"/>
      <c r="C36" s="79">
        <f t="shared" ref="C36:H36" si="14">D36+C37</f>
        <v>12405</v>
      </c>
      <c r="D36" s="79">
        <f t="shared" si="14"/>
        <v>11745</v>
      </c>
      <c r="E36" s="79">
        <f t="shared" si="14"/>
        <v>11085</v>
      </c>
      <c r="F36" s="79">
        <f t="shared" si="14"/>
        <v>10425</v>
      </c>
      <c r="G36" s="79">
        <f t="shared" si="14"/>
        <v>9765</v>
      </c>
      <c r="H36" s="79">
        <f t="shared" si="14"/>
        <v>9105</v>
      </c>
      <c r="I36" s="79">
        <f>J36+I37</f>
        <v>8445</v>
      </c>
      <c r="J36" s="80">
        <v>7785</v>
      </c>
      <c r="K36" s="79">
        <f>J36-K37</f>
        <v>7125</v>
      </c>
      <c r="L36" s="79">
        <f t="shared" ref="L36:N36" si="15">K36-L37</f>
        <v>6465</v>
      </c>
      <c r="M36" s="79">
        <f t="shared" si="15"/>
        <v>5805</v>
      </c>
      <c r="N36" s="79">
        <f t="shared" si="15"/>
        <v>5145</v>
      </c>
    </row>
    <row r="37" spans="1:14" outlineLevel="1">
      <c r="A37" s="79"/>
      <c r="B37" s="79"/>
      <c r="C37" s="80">
        <v>660</v>
      </c>
      <c r="D37" s="80">
        <v>660</v>
      </c>
      <c r="E37" s="80">
        <v>660</v>
      </c>
      <c r="F37" s="80">
        <v>660</v>
      </c>
      <c r="G37" s="80">
        <v>660</v>
      </c>
      <c r="H37" s="80">
        <v>660</v>
      </c>
      <c r="I37" s="80">
        <v>660</v>
      </c>
      <c r="J37" s="80">
        <v>660</v>
      </c>
      <c r="K37" s="80">
        <v>660</v>
      </c>
      <c r="L37" s="80">
        <v>660</v>
      </c>
      <c r="M37" s="80">
        <v>660</v>
      </c>
      <c r="N37" s="80">
        <v>660</v>
      </c>
    </row>
    <row r="38" spans="1:14">
      <c r="A38" s="83" t="s">
        <v>14</v>
      </c>
      <c r="B38" s="84">
        <v>5655</v>
      </c>
      <c r="C38" s="83">
        <f>$B$38</f>
        <v>5655</v>
      </c>
      <c r="D38" s="83">
        <f t="shared" ref="D38:N38" si="16">$B$38</f>
        <v>5655</v>
      </c>
      <c r="E38" s="83">
        <f t="shared" si="16"/>
        <v>5655</v>
      </c>
      <c r="F38" s="83">
        <f t="shared" si="16"/>
        <v>5655</v>
      </c>
      <c r="G38" s="83">
        <f t="shared" si="16"/>
        <v>5655</v>
      </c>
      <c r="H38" s="83">
        <f t="shared" si="16"/>
        <v>5655</v>
      </c>
      <c r="I38" s="83">
        <f t="shared" si="16"/>
        <v>5655</v>
      </c>
      <c r="J38" s="85">
        <f t="shared" si="16"/>
        <v>5655</v>
      </c>
      <c r="K38" s="83">
        <f t="shared" si="16"/>
        <v>5655</v>
      </c>
      <c r="L38" s="83">
        <f t="shared" si="16"/>
        <v>5655</v>
      </c>
      <c r="M38" s="83">
        <f t="shared" si="16"/>
        <v>5655</v>
      </c>
      <c r="N38" s="83">
        <f t="shared" si="16"/>
        <v>5655</v>
      </c>
    </row>
    <row r="39" spans="1:14" s="2" customFormat="1">
      <c r="A39" s="55" t="s">
        <v>2</v>
      </c>
      <c r="B39" s="55"/>
      <c r="C39" s="55">
        <f t="shared" ref="C39:I39" si="17">C34+C36+C38</f>
        <v>18507.807611116245</v>
      </c>
      <c r="D39" s="55">
        <f t="shared" si="17"/>
        <v>17810.832670748852</v>
      </c>
      <c r="E39" s="55">
        <f t="shared" si="17"/>
        <v>17118.64762281</v>
      </c>
      <c r="F39" s="55">
        <f t="shared" si="17"/>
        <v>16430.599650750002</v>
      </c>
      <c r="G39" s="55">
        <f t="shared" si="17"/>
        <v>15746.139209999999</v>
      </c>
      <c r="H39" s="55">
        <f t="shared" si="17"/>
        <v>15064.803</v>
      </c>
      <c r="I39" s="55">
        <f t="shared" si="17"/>
        <v>14386.2</v>
      </c>
      <c r="J39" s="75">
        <f>J34+J36+J38</f>
        <v>13710</v>
      </c>
      <c r="K39" s="55">
        <f t="shared" ref="K39:N39" si="18">K34+K36+K38</f>
        <v>13036.5</v>
      </c>
      <c r="L39" s="55">
        <f t="shared" si="18"/>
        <v>12364.9575</v>
      </c>
      <c r="M39" s="55">
        <f t="shared" si="18"/>
        <v>11695.1592</v>
      </c>
      <c r="N39" s="55">
        <f t="shared" si="18"/>
        <v>11026.928628</v>
      </c>
    </row>
    <row r="40" spans="1:14">
      <c r="A40" s="86" t="s">
        <v>32</v>
      </c>
      <c r="B40" s="87">
        <v>1.65</v>
      </c>
      <c r="C40" s="86">
        <f t="shared" ref="C40:N40" si="19">$B$40*C39</f>
        <v>30537.8825583418</v>
      </c>
      <c r="D40" s="86">
        <f t="shared" si="19"/>
        <v>29387.873906735604</v>
      </c>
      <c r="E40" s="86">
        <f t="shared" si="19"/>
        <v>28245.7685776365</v>
      </c>
      <c r="F40" s="86">
        <f t="shared" si="19"/>
        <v>27110.489423737501</v>
      </c>
      <c r="G40" s="86">
        <f t="shared" si="19"/>
        <v>25981.129696499996</v>
      </c>
      <c r="H40" s="86">
        <f t="shared" si="19"/>
        <v>24856.924949999997</v>
      </c>
      <c r="I40" s="86">
        <f t="shared" si="19"/>
        <v>23737.23</v>
      </c>
      <c r="J40" s="88">
        <f t="shared" si="19"/>
        <v>22621.5</v>
      </c>
      <c r="K40" s="86">
        <f t="shared" si="19"/>
        <v>21510.224999999999</v>
      </c>
      <c r="L40" s="86">
        <f t="shared" si="19"/>
        <v>20402.179874999998</v>
      </c>
      <c r="M40" s="86">
        <f t="shared" si="19"/>
        <v>19297.01268</v>
      </c>
      <c r="N40" s="86">
        <f t="shared" si="19"/>
        <v>18194.432236199998</v>
      </c>
    </row>
    <row r="41" spans="1:14">
      <c r="A41" s="86" t="s">
        <v>4</v>
      </c>
      <c r="B41" s="86"/>
      <c r="C41" s="86">
        <f t="shared" ref="C41:N41" si="20">C39+C40</f>
        <v>49045.690169458045</v>
      </c>
      <c r="D41" s="86">
        <f t="shared" si="20"/>
        <v>47198.706577484452</v>
      </c>
      <c r="E41" s="86">
        <f t="shared" si="20"/>
        <v>45364.416200446503</v>
      </c>
      <c r="F41" s="86">
        <f t="shared" si="20"/>
        <v>43541.089074487507</v>
      </c>
      <c r="G41" s="86">
        <f t="shared" si="20"/>
        <v>41727.268906499994</v>
      </c>
      <c r="H41" s="86">
        <f t="shared" si="20"/>
        <v>39921.72795</v>
      </c>
      <c r="I41" s="86">
        <f t="shared" si="20"/>
        <v>38123.43</v>
      </c>
      <c r="J41" s="86">
        <f t="shared" si="20"/>
        <v>36331.5</v>
      </c>
      <c r="K41" s="86">
        <f t="shared" si="20"/>
        <v>34546.724999999999</v>
      </c>
      <c r="L41" s="86">
        <f t="shared" si="20"/>
        <v>32767.137374999998</v>
      </c>
      <c r="M41" s="86">
        <f t="shared" si="20"/>
        <v>30992.171880000002</v>
      </c>
      <c r="N41" s="86">
        <f t="shared" si="20"/>
        <v>29221.360864199996</v>
      </c>
    </row>
    <row r="42" spans="1:14">
      <c r="A42" s="55" t="s">
        <v>5</v>
      </c>
      <c r="B42" s="55"/>
      <c r="C42" s="55">
        <f t="shared" ref="C42:N42" si="21">C31+C41</f>
        <v>127101.16944630157</v>
      </c>
      <c r="D42" s="55">
        <f t="shared" si="21"/>
        <v>125059.53378630592</v>
      </c>
      <c r="E42" s="55">
        <f t="shared" si="21"/>
        <v>122837.8761097216</v>
      </c>
      <c r="F42" s="55">
        <f t="shared" si="21"/>
        <v>120437.82347575312</v>
      </c>
      <c r="G42" s="55">
        <f t="shared" si="21"/>
        <v>117862.64950181247</v>
      </c>
      <c r="H42" s="55">
        <f t="shared" si="21"/>
        <v>115117.16557499999</v>
      </c>
      <c r="I42" s="55">
        <f t="shared" si="21"/>
        <v>112207.60500000001</v>
      </c>
      <c r="J42" s="55">
        <f t="shared" si="21"/>
        <v>109141.5</v>
      </c>
      <c r="K42" s="55">
        <f t="shared" si="21"/>
        <v>105900.52499999999</v>
      </c>
      <c r="L42" s="55">
        <f t="shared" si="21"/>
        <v>102515.47687499999</v>
      </c>
      <c r="M42" s="55">
        <f t="shared" si="21"/>
        <v>98996.802892500011</v>
      </c>
      <c r="N42" s="55">
        <f t="shared" si="21"/>
        <v>95355.86452385626</v>
      </c>
    </row>
    <row r="43" spans="1:14">
      <c r="A43" s="78" t="s">
        <v>6</v>
      </c>
      <c r="B43" s="89">
        <v>7455</v>
      </c>
      <c r="C43" s="78">
        <f>$B$43</f>
        <v>7455</v>
      </c>
      <c r="D43" s="78">
        <f t="shared" ref="D43:N43" si="22">$B$43</f>
        <v>7455</v>
      </c>
      <c r="E43" s="78">
        <f t="shared" si="22"/>
        <v>7455</v>
      </c>
      <c r="F43" s="78">
        <f t="shared" si="22"/>
        <v>7455</v>
      </c>
      <c r="G43" s="78">
        <f t="shared" si="22"/>
        <v>7455</v>
      </c>
      <c r="H43" s="78">
        <f t="shared" si="22"/>
        <v>7455</v>
      </c>
      <c r="I43" s="78">
        <f t="shared" si="22"/>
        <v>7455</v>
      </c>
      <c r="J43" s="90">
        <f t="shared" si="22"/>
        <v>7455</v>
      </c>
      <c r="K43" s="78">
        <f t="shared" si="22"/>
        <v>7455</v>
      </c>
      <c r="L43" s="78">
        <f t="shared" si="22"/>
        <v>7455</v>
      </c>
      <c r="M43" s="78">
        <f t="shared" si="22"/>
        <v>7455</v>
      </c>
      <c r="N43" s="78">
        <f t="shared" si="22"/>
        <v>7455</v>
      </c>
    </row>
    <row r="44" spans="1:14">
      <c r="A44" s="86" t="s">
        <v>33</v>
      </c>
      <c r="B44" s="87">
        <v>1.4</v>
      </c>
      <c r="C44" s="86">
        <f t="shared" ref="C44:N44" si="23">$B$44*C43</f>
        <v>10437</v>
      </c>
      <c r="D44" s="86">
        <f t="shared" si="23"/>
        <v>10437</v>
      </c>
      <c r="E44" s="86">
        <f t="shared" si="23"/>
        <v>10437</v>
      </c>
      <c r="F44" s="86">
        <f t="shared" si="23"/>
        <v>10437</v>
      </c>
      <c r="G44" s="86">
        <f t="shared" si="23"/>
        <v>10437</v>
      </c>
      <c r="H44" s="86">
        <f t="shared" si="23"/>
        <v>10437</v>
      </c>
      <c r="I44" s="86">
        <f t="shared" si="23"/>
        <v>10437</v>
      </c>
      <c r="J44" s="88">
        <f t="shared" si="23"/>
        <v>10437</v>
      </c>
      <c r="K44" s="86">
        <f t="shared" si="23"/>
        <v>10437</v>
      </c>
      <c r="L44" s="86">
        <f t="shared" si="23"/>
        <v>10437</v>
      </c>
      <c r="M44" s="86">
        <f t="shared" si="23"/>
        <v>10437</v>
      </c>
      <c r="N44" s="86">
        <f t="shared" si="23"/>
        <v>10437</v>
      </c>
    </row>
    <row r="45" spans="1:14">
      <c r="A45" s="91" t="s">
        <v>8</v>
      </c>
      <c r="B45" s="91"/>
      <c r="C45" s="91">
        <f t="shared" ref="C45:N45" si="24">C43+C44</f>
        <v>17892</v>
      </c>
      <c r="D45" s="91">
        <f t="shared" si="24"/>
        <v>17892</v>
      </c>
      <c r="E45" s="91">
        <f t="shared" si="24"/>
        <v>17892</v>
      </c>
      <c r="F45" s="91">
        <f t="shared" si="24"/>
        <v>17892</v>
      </c>
      <c r="G45" s="91">
        <f t="shared" si="24"/>
        <v>17892</v>
      </c>
      <c r="H45" s="91">
        <f t="shared" si="24"/>
        <v>17892</v>
      </c>
      <c r="I45" s="91">
        <f t="shared" si="24"/>
        <v>17892</v>
      </c>
      <c r="J45" s="91">
        <f t="shared" si="24"/>
        <v>17892</v>
      </c>
      <c r="K45" s="91">
        <f t="shared" si="24"/>
        <v>17892</v>
      </c>
      <c r="L45" s="91">
        <f t="shared" si="24"/>
        <v>17892</v>
      </c>
      <c r="M45" s="91">
        <f t="shared" si="24"/>
        <v>17892</v>
      </c>
      <c r="N45" s="91">
        <f t="shared" si="24"/>
        <v>17892</v>
      </c>
    </row>
    <row r="46" spans="1:14">
      <c r="A46" s="91" t="s">
        <v>9</v>
      </c>
      <c r="B46" s="92">
        <v>2.5000000000000001E-2</v>
      </c>
      <c r="C46" s="91">
        <f t="shared" ref="C46:N46" si="25">C42*$B$46</f>
        <v>3177.5292361575393</v>
      </c>
      <c r="D46" s="91">
        <f t="shared" si="25"/>
        <v>3126.4883446576482</v>
      </c>
      <c r="E46" s="91">
        <f t="shared" si="25"/>
        <v>3070.9469027430405</v>
      </c>
      <c r="F46" s="91">
        <f t="shared" si="25"/>
        <v>3010.945586893828</v>
      </c>
      <c r="G46" s="91">
        <f t="shared" si="25"/>
        <v>2946.5662375453121</v>
      </c>
      <c r="H46" s="91">
        <f t="shared" si="25"/>
        <v>2877.929139375</v>
      </c>
      <c r="I46" s="91">
        <f t="shared" si="25"/>
        <v>2805.1901250000005</v>
      </c>
      <c r="J46" s="91">
        <f t="shared" si="25"/>
        <v>2728.5375000000004</v>
      </c>
      <c r="K46" s="91">
        <f t="shared" si="25"/>
        <v>2647.5131249999999</v>
      </c>
      <c r="L46" s="91">
        <f t="shared" si="25"/>
        <v>2562.8869218750001</v>
      </c>
      <c r="M46" s="91">
        <f t="shared" si="25"/>
        <v>2474.9200723125005</v>
      </c>
      <c r="N46" s="91">
        <f t="shared" si="25"/>
        <v>2383.8966130964068</v>
      </c>
    </row>
    <row r="47" spans="1:14">
      <c r="A47" s="55" t="s">
        <v>10</v>
      </c>
      <c r="B47" s="55"/>
      <c r="C47" s="55">
        <f t="shared" ref="C47:N47" si="26">C42+C45+C46</f>
        <v>148170.69868245913</v>
      </c>
      <c r="D47" s="55">
        <f t="shared" si="26"/>
        <v>146078.02213096357</v>
      </c>
      <c r="E47" s="55">
        <f t="shared" si="26"/>
        <v>143800.82301246465</v>
      </c>
      <c r="F47" s="55">
        <f t="shared" si="26"/>
        <v>141340.76906264696</v>
      </c>
      <c r="G47" s="55">
        <f t="shared" si="26"/>
        <v>138701.21573935778</v>
      </c>
      <c r="H47" s="55">
        <f t="shared" si="26"/>
        <v>135887.09471437498</v>
      </c>
      <c r="I47" s="55">
        <f t="shared" si="26"/>
        <v>132904.795125</v>
      </c>
      <c r="J47" s="55">
        <f t="shared" si="26"/>
        <v>129762.03750000001</v>
      </c>
      <c r="K47" s="55">
        <f t="shared" si="26"/>
        <v>126440.03812499999</v>
      </c>
      <c r="L47" s="55">
        <f t="shared" si="26"/>
        <v>122970.363796875</v>
      </c>
      <c r="M47" s="55">
        <f t="shared" si="26"/>
        <v>119363.72296481251</v>
      </c>
      <c r="N47" s="55">
        <f t="shared" si="26"/>
        <v>115631.76113695267</v>
      </c>
    </row>
    <row r="48" spans="1:14">
      <c r="A48" s="86" t="s">
        <v>21</v>
      </c>
      <c r="B48" s="93">
        <v>7.4999999999999997E-2</v>
      </c>
      <c r="C48" s="86">
        <f t="shared" ref="C48:I48" si="27">C47*$B$48</f>
        <v>11112.802401184434</v>
      </c>
      <c r="D48" s="86">
        <f t="shared" si="27"/>
        <v>10955.851659822267</v>
      </c>
      <c r="E48" s="86">
        <f t="shared" si="27"/>
        <v>10785.061725934849</v>
      </c>
      <c r="F48" s="86">
        <f t="shared" si="27"/>
        <v>10600.557679698521</v>
      </c>
      <c r="G48" s="86">
        <f t="shared" si="27"/>
        <v>10402.591180451833</v>
      </c>
      <c r="H48" s="86">
        <f t="shared" si="27"/>
        <v>10191.532103578123</v>
      </c>
      <c r="I48" s="86">
        <f t="shared" si="27"/>
        <v>9967.8596343749996</v>
      </c>
      <c r="J48" s="86">
        <f>J47*$B$48</f>
        <v>9732.1528125000004</v>
      </c>
      <c r="K48" s="86">
        <f t="shared" ref="K48:N48" si="28">K47*$B$48</f>
        <v>9483.0028593749994</v>
      </c>
      <c r="L48" s="86">
        <f t="shared" si="28"/>
        <v>9222.7772847656252</v>
      </c>
      <c r="M48" s="86">
        <f t="shared" si="28"/>
        <v>8952.2792223609376</v>
      </c>
      <c r="N48" s="86">
        <f t="shared" si="28"/>
        <v>8672.3820852714507</v>
      </c>
    </row>
    <row r="49" spans="1:14">
      <c r="A49" s="55" t="s">
        <v>11</v>
      </c>
      <c r="B49" s="55"/>
      <c r="C49" s="55">
        <f t="shared" ref="C49:I49" si="29">C47+C48</f>
        <v>159283.50108364355</v>
      </c>
      <c r="D49" s="55">
        <f t="shared" si="29"/>
        <v>157033.87379078584</v>
      </c>
      <c r="E49" s="55">
        <f t="shared" si="29"/>
        <v>154585.8847383995</v>
      </c>
      <c r="F49" s="55">
        <f t="shared" si="29"/>
        <v>151941.32674234547</v>
      </c>
      <c r="G49" s="55">
        <f t="shared" si="29"/>
        <v>149103.80691980961</v>
      </c>
      <c r="H49" s="55">
        <f t="shared" si="29"/>
        <v>146078.6268179531</v>
      </c>
      <c r="I49" s="55">
        <f t="shared" si="29"/>
        <v>142872.654759375</v>
      </c>
      <c r="J49" s="55">
        <f>J47+J48</f>
        <v>139494.1903125</v>
      </c>
      <c r="K49" s="55">
        <f t="shared" ref="K49:N49" si="30">K47+K48</f>
        <v>135923.04098437499</v>
      </c>
      <c r="L49" s="55">
        <f t="shared" si="30"/>
        <v>132193.14108164061</v>
      </c>
      <c r="M49" s="55">
        <f t="shared" si="30"/>
        <v>128316.00218717345</v>
      </c>
      <c r="N49" s="55">
        <f t="shared" si="30"/>
        <v>124304.14322222413</v>
      </c>
    </row>
    <row r="50" spans="1:14" ht="15" thickBot="1">
      <c r="A50" s="94" t="s">
        <v>56</v>
      </c>
      <c r="B50" s="95">
        <v>0.12</v>
      </c>
      <c r="C50" s="94">
        <f t="shared" ref="C50:I50" si="31">C49/((1-$B$50)*10)</f>
        <v>18100.39785041404</v>
      </c>
      <c r="D50" s="94">
        <f t="shared" si="31"/>
        <v>17844.758385316571</v>
      </c>
      <c r="E50" s="94">
        <f t="shared" si="31"/>
        <v>17566.57781118176</v>
      </c>
      <c r="F50" s="94">
        <f t="shared" si="31"/>
        <v>17266.059857084711</v>
      </c>
      <c r="G50" s="94">
        <f t="shared" si="31"/>
        <v>16943.614422705636</v>
      </c>
      <c r="H50" s="94">
        <f t="shared" si="31"/>
        <v>16599.843956585577</v>
      </c>
      <c r="I50" s="94">
        <f t="shared" si="31"/>
        <v>16235.528949928976</v>
      </c>
      <c r="J50" s="94">
        <f>J49/((1-$B$50)*10)</f>
        <v>15851.612535511362</v>
      </c>
      <c r="K50" s="94">
        <f t="shared" ref="K50:N50" si="32">K49/((1-$B$50)*10)</f>
        <v>15445.800111860794</v>
      </c>
      <c r="L50" s="94">
        <f t="shared" si="32"/>
        <v>15021.947850186432</v>
      </c>
      <c r="M50" s="94">
        <f t="shared" si="32"/>
        <v>14581.363884906074</v>
      </c>
      <c r="N50" s="94">
        <f t="shared" si="32"/>
        <v>14125.470820707285</v>
      </c>
    </row>
    <row r="51" spans="1:14" ht="15" thickTop="1">
      <c r="A51" s="55" t="s">
        <v>24</v>
      </c>
      <c r="B51" s="55"/>
      <c r="C51" s="55">
        <f t="shared" ref="C51:I51" si="33">C49+C50</f>
        <v>177383.89893405759</v>
      </c>
      <c r="D51" s="55">
        <f t="shared" si="33"/>
        <v>174878.63217610243</v>
      </c>
      <c r="E51" s="55">
        <f t="shared" si="33"/>
        <v>172152.46254958125</v>
      </c>
      <c r="F51" s="55">
        <f t="shared" si="33"/>
        <v>169207.38659943017</v>
      </c>
      <c r="G51" s="55">
        <f t="shared" si="33"/>
        <v>166047.42134251524</v>
      </c>
      <c r="H51" s="55">
        <f t="shared" si="33"/>
        <v>162678.47077453867</v>
      </c>
      <c r="I51" s="55">
        <f t="shared" si="33"/>
        <v>159108.18370930396</v>
      </c>
      <c r="J51" s="55">
        <f>J49+J50</f>
        <v>155345.80284801137</v>
      </c>
      <c r="K51" s="55">
        <f t="shared" ref="K51:N51" si="34">K49+K50</f>
        <v>151368.84109623579</v>
      </c>
      <c r="L51" s="55">
        <f t="shared" si="34"/>
        <v>147215.08893182705</v>
      </c>
      <c r="M51" s="55">
        <f t="shared" si="34"/>
        <v>142897.36607207952</v>
      </c>
      <c r="N51" s="55">
        <f t="shared" si="34"/>
        <v>138429.61404293141</v>
      </c>
    </row>
    <row r="52" spans="1:14">
      <c r="A52" t="s">
        <v>43</v>
      </c>
      <c r="B52" t="s">
        <v>43</v>
      </c>
    </row>
  </sheetData>
  <mergeCells count="7">
    <mergeCell ref="D2:I2"/>
    <mergeCell ref="J2:K2"/>
    <mergeCell ref="L2:M2"/>
    <mergeCell ref="B2:C2"/>
    <mergeCell ref="D3:E3"/>
    <mergeCell ref="F3:G3"/>
    <mergeCell ref="H3:I3"/>
  </mergeCells>
  <conditionalFormatting sqref="N4:O21">
    <cfRule type="cellIs" dxfId="1" priority="3" operator="lessThan">
      <formula>0</formula>
    </cfRule>
    <cfRule type="cellIs" dxfId="0" priority="4" operator="greaterThan">
      <formula>0</formula>
    </cfRule>
  </conditionalFormatting>
  <pageMargins left="0.7" right="0.7" top="0.78740157499999996" bottom="0.78740157499999996" header="0.3" footer="0.3"/>
  <legacy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"/>
  <sheetViews>
    <sheetView tabSelected="1" zoomScale="115" zoomScaleNormal="115" zoomScalePageLayoutView="115" workbookViewId="0">
      <selection activeCell="I4" sqref="I4"/>
    </sheetView>
  </sheetViews>
  <sheetFormatPr baseColWidth="10" defaultRowHeight="14" x14ac:dyDescent="0"/>
  <cols>
    <col min="1" max="1" width="35.5" bestFit="1" customWidth="1"/>
    <col min="2" max="2" width="13.5" customWidth="1"/>
    <col min="3" max="4" width="9.6640625" customWidth="1"/>
    <col min="5" max="5" width="13.5" customWidth="1"/>
    <col min="6" max="7" width="10.6640625" customWidth="1"/>
    <col min="8" max="8" width="13.5" customWidth="1"/>
    <col min="9" max="11" width="10.6640625" customWidth="1"/>
  </cols>
  <sheetData>
    <row r="1" spans="1:13">
      <c r="A1" s="108" t="s">
        <v>15</v>
      </c>
      <c r="B1" s="108"/>
      <c r="C1" s="108"/>
      <c r="D1" s="108"/>
      <c r="E1" s="108"/>
      <c r="F1" s="72"/>
      <c r="G1" s="72"/>
      <c r="H1" s="72"/>
      <c r="I1" s="72"/>
      <c r="J1" s="72"/>
      <c r="K1" s="72"/>
      <c r="L1" s="72"/>
      <c r="M1" s="72"/>
    </row>
    <row r="2" spans="1:13">
      <c r="A2" s="72"/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</row>
    <row r="3" spans="1:13">
      <c r="A3" s="96"/>
      <c r="B3" s="97">
        <v>1000</v>
      </c>
      <c r="C3" s="118" t="s">
        <v>42</v>
      </c>
      <c r="D3" s="118"/>
      <c r="E3" s="97">
        <v>1500</v>
      </c>
      <c r="F3" s="118" t="s">
        <v>42</v>
      </c>
      <c r="G3" s="118"/>
      <c r="H3" s="97">
        <v>2000</v>
      </c>
      <c r="I3" s="98"/>
      <c r="J3" s="98"/>
      <c r="K3" s="98" t="s">
        <v>44</v>
      </c>
      <c r="L3" s="72"/>
      <c r="M3" s="72"/>
    </row>
    <row r="4" spans="1:13">
      <c r="A4" s="72" t="s">
        <v>1</v>
      </c>
      <c r="B4" s="99">
        <v>73035</v>
      </c>
      <c r="C4" s="100">
        <f>E4-B4</f>
        <v>-735</v>
      </c>
      <c r="D4" s="101">
        <f>(E4-B4)/B4</f>
        <v>-1.0063668104333538E-2</v>
      </c>
      <c r="E4" s="99">
        <v>72300</v>
      </c>
      <c r="F4" s="100">
        <f>H4-E4</f>
        <v>-1065</v>
      </c>
      <c r="G4" s="101">
        <f>(H4-E4)/E4</f>
        <v>-1.4730290456431535E-2</v>
      </c>
      <c r="H4" s="99">
        <v>71235</v>
      </c>
      <c r="I4" s="72" t="b">
        <f>F4=C4</f>
        <v>0</v>
      </c>
      <c r="J4" s="72"/>
      <c r="K4" s="109" t="s">
        <v>45</v>
      </c>
      <c r="L4" s="72"/>
      <c r="M4" s="72"/>
    </row>
    <row r="5" spans="1:13">
      <c r="A5" s="72" t="s">
        <v>3</v>
      </c>
      <c r="B5" s="100"/>
      <c r="C5" s="100"/>
      <c r="D5" s="101"/>
      <c r="E5" s="100"/>
      <c r="F5" s="100"/>
      <c r="G5" s="102"/>
      <c r="H5" s="100">
        <f>B4*(1+D4)*(1+G4)</f>
        <v>71235</v>
      </c>
      <c r="I5" s="72"/>
      <c r="J5" s="72"/>
      <c r="K5" s="72"/>
      <c r="L5" s="72"/>
      <c r="M5" s="72"/>
    </row>
    <row r="6" spans="1:13">
      <c r="A6" s="103" t="s">
        <v>12</v>
      </c>
      <c r="B6" s="99">
        <v>1005</v>
      </c>
      <c r="C6" s="100">
        <f t="shared" ref="C6:C21" si="0">E6-B6</f>
        <v>-75</v>
      </c>
      <c r="D6" s="101">
        <f t="shared" ref="D6:D21" si="1">(E6-B6)/B6</f>
        <v>-7.4626865671641784E-2</v>
      </c>
      <c r="E6" s="99">
        <v>930</v>
      </c>
      <c r="F6" s="100">
        <f t="shared" ref="F6:F21" si="2">H6-E6</f>
        <v>-60</v>
      </c>
      <c r="G6" s="101">
        <f t="shared" ref="G6:G21" si="3">(H6-E6)/E6</f>
        <v>-6.4516129032258063E-2</v>
      </c>
      <c r="H6" s="99">
        <v>870</v>
      </c>
      <c r="I6" s="72" t="b">
        <f t="shared" ref="I6:I21" si="4">F6=C6</f>
        <v>0</v>
      </c>
      <c r="J6" s="72"/>
      <c r="K6" s="109" t="s">
        <v>46</v>
      </c>
      <c r="L6" s="72"/>
      <c r="M6" s="72"/>
    </row>
    <row r="7" spans="1:13">
      <c r="A7" s="103" t="s">
        <v>13</v>
      </c>
      <c r="B7" s="99">
        <v>8985</v>
      </c>
      <c r="C7" s="100">
        <f t="shared" si="0"/>
        <v>-660</v>
      </c>
      <c r="D7" s="101">
        <f t="shared" si="1"/>
        <v>-7.3455759599332218E-2</v>
      </c>
      <c r="E7" s="99">
        <v>8325</v>
      </c>
      <c r="F7" s="100">
        <f t="shared" si="2"/>
        <v>-660</v>
      </c>
      <c r="G7" s="101">
        <f t="shared" si="3"/>
        <v>-7.9279279279279274E-2</v>
      </c>
      <c r="H7" s="99">
        <v>7665</v>
      </c>
      <c r="I7" s="72" t="b">
        <f t="shared" si="4"/>
        <v>1</v>
      </c>
      <c r="J7" s="72"/>
      <c r="K7" s="72" t="s">
        <v>47</v>
      </c>
      <c r="L7" s="72"/>
      <c r="M7" s="72"/>
    </row>
    <row r="8" spans="1:13">
      <c r="A8" s="103" t="s">
        <v>14</v>
      </c>
      <c r="B8" s="104">
        <v>3000</v>
      </c>
      <c r="C8" s="100">
        <f t="shared" si="0"/>
        <v>-330</v>
      </c>
      <c r="D8" s="101">
        <f t="shared" si="1"/>
        <v>-0.11</v>
      </c>
      <c r="E8" s="104">
        <v>2670</v>
      </c>
      <c r="F8" s="100">
        <f t="shared" si="2"/>
        <v>-345</v>
      </c>
      <c r="G8" s="101">
        <f t="shared" si="3"/>
        <v>-0.12921348314606743</v>
      </c>
      <c r="H8" s="104">
        <v>2325</v>
      </c>
      <c r="I8" s="72" t="b">
        <f t="shared" si="4"/>
        <v>0</v>
      </c>
      <c r="J8" s="72"/>
      <c r="K8" s="72" t="s">
        <v>48</v>
      </c>
      <c r="L8" s="72"/>
      <c r="M8" s="72"/>
    </row>
    <row r="9" spans="1:13">
      <c r="A9" s="72" t="s">
        <v>2</v>
      </c>
      <c r="B9" s="100">
        <f>SUM(B6:B8)</f>
        <v>12990</v>
      </c>
      <c r="C9" s="100">
        <f t="shared" si="0"/>
        <v>-1065</v>
      </c>
      <c r="D9" s="101">
        <f t="shared" si="1"/>
        <v>-8.198614318706697E-2</v>
      </c>
      <c r="E9" s="100">
        <f>SUM(E6:E8)</f>
        <v>11925</v>
      </c>
      <c r="F9" s="100">
        <f t="shared" si="2"/>
        <v>-1065</v>
      </c>
      <c r="G9" s="101">
        <f t="shared" si="3"/>
        <v>-8.9308176100628925E-2</v>
      </c>
      <c r="H9" s="100">
        <f>SUM(H6:H8)</f>
        <v>10860</v>
      </c>
      <c r="I9" s="72" t="b">
        <f t="shared" si="4"/>
        <v>1</v>
      </c>
      <c r="J9" s="72"/>
      <c r="K9" s="72" t="s">
        <v>49</v>
      </c>
      <c r="L9" s="72"/>
      <c r="M9" s="72"/>
    </row>
    <row r="10" spans="1:13">
      <c r="A10" s="72" t="s">
        <v>19</v>
      </c>
      <c r="B10" s="100">
        <f>B9*178%</f>
        <v>23122.2</v>
      </c>
      <c r="C10" s="100">
        <f t="shared" si="0"/>
        <v>-1895.7000000000007</v>
      </c>
      <c r="D10" s="101">
        <f t="shared" si="1"/>
        <v>-8.1986143187066998E-2</v>
      </c>
      <c r="E10" s="100">
        <f>E9*178%</f>
        <v>21226.5</v>
      </c>
      <c r="F10" s="100">
        <f t="shared" si="2"/>
        <v>-1895.7000000000007</v>
      </c>
      <c r="G10" s="101">
        <f t="shared" si="3"/>
        <v>-8.9308176100628966E-2</v>
      </c>
      <c r="H10" s="100">
        <f>H9*178%</f>
        <v>19330.8</v>
      </c>
      <c r="I10" s="72" t="b">
        <f t="shared" si="4"/>
        <v>1</v>
      </c>
      <c r="J10" s="72"/>
      <c r="K10" s="72" t="s">
        <v>50</v>
      </c>
      <c r="L10" s="72"/>
      <c r="M10" s="72"/>
    </row>
    <row r="11" spans="1:13">
      <c r="A11" s="72" t="s">
        <v>4</v>
      </c>
      <c r="B11" s="105">
        <f>B9+B10</f>
        <v>36112.199999999997</v>
      </c>
      <c r="C11" s="100">
        <f t="shared" si="0"/>
        <v>-2960.6999999999971</v>
      </c>
      <c r="D11" s="101">
        <f t="shared" si="1"/>
        <v>-8.1986143187066901E-2</v>
      </c>
      <c r="E11" s="105">
        <f>E9+E10</f>
        <v>33151.5</v>
      </c>
      <c r="F11" s="100">
        <f t="shared" si="2"/>
        <v>-2960.7000000000007</v>
      </c>
      <c r="G11" s="101">
        <f t="shared" si="3"/>
        <v>-8.9308176100628953E-2</v>
      </c>
      <c r="H11" s="105">
        <f>H9+H10</f>
        <v>30190.799999999999</v>
      </c>
      <c r="I11" s="72" t="b">
        <f t="shared" si="4"/>
        <v>1</v>
      </c>
      <c r="J11" s="72"/>
      <c r="K11" s="72" t="s">
        <v>49</v>
      </c>
      <c r="L11" s="72"/>
      <c r="M11" s="72"/>
    </row>
    <row r="12" spans="1:13" s="56" customFormat="1">
      <c r="A12" s="72" t="s">
        <v>5</v>
      </c>
      <c r="B12" s="100">
        <f>B4+B11</f>
        <v>109147.2</v>
      </c>
      <c r="C12" s="100">
        <f t="shared" si="0"/>
        <v>-3695.6999999999971</v>
      </c>
      <c r="D12" s="101">
        <f t="shared" si="1"/>
        <v>-3.3859778354369117E-2</v>
      </c>
      <c r="E12" s="100">
        <f>E4+E11</f>
        <v>105451.5</v>
      </c>
      <c r="F12" s="100">
        <f t="shared" si="2"/>
        <v>-4025.6999999999971</v>
      </c>
      <c r="G12" s="101">
        <f t="shared" si="3"/>
        <v>-3.817584387135315E-2</v>
      </c>
      <c r="H12" s="100">
        <f>H4+H11</f>
        <v>101425.8</v>
      </c>
      <c r="I12" s="72" t="b">
        <f t="shared" si="4"/>
        <v>0</v>
      </c>
      <c r="J12" s="72"/>
      <c r="K12" s="72" t="s">
        <v>49</v>
      </c>
      <c r="L12" s="72"/>
      <c r="M12" s="72"/>
    </row>
    <row r="13" spans="1:13">
      <c r="A13" s="72" t="s">
        <v>6</v>
      </c>
      <c r="B13" s="99">
        <v>5730</v>
      </c>
      <c r="C13" s="100">
        <f t="shared" si="0"/>
        <v>-1005</v>
      </c>
      <c r="D13" s="101">
        <f t="shared" si="1"/>
        <v>-0.17539267015706805</v>
      </c>
      <c r="E13" s="99">
        <v>4725</v>
      </c>
      <c r="F13" s="100">
        <f t="shared" si="2"/>
        <v>-660</v>
      </c>
      <c r="G13" s="101">
        <f t="shared" si="3"/>
        <v>-0.13968253968253969</v>
      </c>
      <c r="H13" s="99">
        <v>4065</v>
      </c>
      <c r="I13" s="72" t="b">
        <f t="shared" si="4"/>
        <v>0</v>
      </c>
      <c r="J13" s="72"/>
      <c r="K13" s="72" t="s">
        <v>54</v>
      </c>
      <c r="L13" s="72"/>
      <c r="M13" s="72"/>
    </row>
    <row r="14" spans="1:13">
      <c r="A14" s="72" t="s">
        <v>20</v>
      </c>
      <c r="B14" s="105">
        <f>B13*140%</f>
        <v>8021.9999999999991</v>
      </c>
      <c r="C14" s="100">
        <f t="shared" si="0"/>
        <v>-1406.9999999999991</v>
      </c>
      <c r="D14" s="101">
        <f t="shared" si="1"/>
        <v>-0.17539267015706797</v>
      </c>
      <c r="E14" s="105">
        <f>E13*140%</f>
        <v>6615</v>
      </c>
      <c r="F14" s="100">
        <f t="shared" si="2"/>
        <v>-924</v>
      </c>
      <c r="G14" s="101">
        <f t="shared" si="3"/>
        <v>-0.13968253968253969</v>
      </c>
      <c r="H14" s="105">
        <f>H13*140%</f>
        <v>5691</v>
      </c>
      <c r="I14" s="72" t="b">
        <f t="shared" si="4"/>
        <v>0</v>
      </c>
      <c r="J14" s="72"/>
      <c r="K14" s="72" t="s">
        <v>53</v>
      </c>
      <c r="L14" s="72"/>
      <c r="M14" s="72"/>
    </row>
    <row r="15" spans="1:13">
      <c r="A15" s="72" t="s">
        <v>8</v>
      </c>
      <c r="B15" s="100">
        <f>B13+B14</f>
        <v>13752</v>
      </c>
      <c r="C15" s="100">
        <f t="shared" si="0"/>
        <v>-2412</v>
      </c>
      <c r="D15" s="101">
        <f t="shared" si="1"/>
        <v>-0.17539267015706805</v>
      </c>
      <c r="E15" s="100">
        <f>E13+E14</f>
        <v>11340</v>
      </c>
      <c r="F15" s="100">
        <f t="shared" si="2"/>
        <v>-1584</v>
      </c>
      <c r="G15" s="101">
        <f t="shared" si="3"/>
        <v>-0.13968253968253969</v>
      </c>
      <c r="H15" s="100">
        <f>H13+H14</f>
        <v>9756</v>
      </c>
      <c r="I15" s="72" t="b">
        <f t="shared" si="4"/>
        <v>0</v>
      </c>
      <c r="J15" s="72"/>
      <c r="K15" s="72" t="s">
        <v>49</v>
      </c>
      <c r="L15" s="72"/>
      <c r="M15" s="72"/>
    </row>
    <row r="16" spans="1:13" s="56" customFormat="1">
      <c r="A16" s="72" t="s">
        <v>9</v>
      </c>
      <c r="B16" s="105">
        <f>B12*2.5%</f>
        <v>2728.6800000000003</v>
      </c>
      <c r="C16" s="100">
        <f t="shared" si="0"/>
        <v>-92.392499999999927</v>
      </c>
      <c r="D16" s="101">
        <f t="shared" si="1"/>
        <v>-3.3859778354369117E-2</v>
      </c>
      <c r="E16" s="105">
        <f>E12*2.5%</f>
        <v>2636.2875000000004</v>
      </c>
      <c r="F16" s="100">
        <f t="shared" si="2"/>
        <v>-100.64249999999993</v>
      </c>
      <c r="G16" s="101">
        <f t="shared" si="3"/>
        <v>-3.817584387135315E-2</v>
      </c>
      <c r="H16" s="105">
        <f>H12*2.5%</f>
        <v>2535.6450000000004</v>
      </c>
      <c r="I16" s="72" t="b">
        <f t="shared" si="4"/>
        <v>0</v>
      </c>
      <c r="J16" s="72"/>
      <c r="K16" s="72" t="s">
        <v>52</v>
      </c>
      <c r="L16" s="72"/>
      <c r="M16" s="72"/>
    </row>
    <row r="17" spans="1:13" s="56" customFormat="1">
      <c r="A17" s="72" t="s">
        <v>10</v>
      </c>
      <c r="B17" s="100">
        <f>B12+B15+B16</f>
        <v>125627.88</v>
      </c>
      <c r="C17" s="100">
        <f t="shared" si="0"/>
        <v>-6200.0924999999988</v>
      </c>
      <c r="D17" s="101">
        <f t="shared" si="1"/>
        <v>-4.9352838717010891E-2</v>
      </c>
      <c r="E17" s="100">
        <f>E12+E15+E16</f>
        <v>119427.78750000001</v>
      </c>
      <c r="F17" s="100">
        <f t="shared" si="2"/>
        <v>-5710.3424999999988</v>
      </c>
      <c r="G17" s="101">
        <f t="shared" si="3"/>
        <v>-4.7814186459746638E-2</v>
      </c>
      <c r="H17" s="100">
        <f>H12+H15+H16</f>
        <v>113717.44500000001</v>
      </c>
      <c r="I17" s="72" t="b">
        <f t="shared" si="4"/>
        <v>0</v>
      </c>
      <c r="J17" s="72"/>
      <c r="K17" s="72" t="s">
        <v>49</v>
      </c>
      <c r="L17" s="72"/>
      <c r="M17" s="72"/>
    </row>
    <row r="18" spans="1:13" s="56" customFormat="1">
      <c r="A18" s="72" t="s">
        <v>21</v>
      </c>
      <c r="B18" s="105">
        <f>B17*7.5%</f>
        <v>9422.0910000000003</v>
      </c>
      <c r="C18" s="100">
        <f t="shared" si="0"/>
        <v>-465.00693750000028</v>
      </c>
      <c r="D18" s="101">
        <f t="shared" si="1"/>
        <v>-4.9352838717010933E-2</v>
      </c>
      <c r="E18" s="105">
        <f>E17*7.5%</f>
        <v>8957.0840625000001</v>
      </c>
      <c r="F18" s="100">
        <f t="shared" si="2"/>
        <v>-428.27568749999955</v>
      </c>
      <c r="G18" s="101">
        <f t="shared" si="3"/>
        <v>-4.7814186459746597E-2</v>
      </c>
      <c r="H18" s="105">
        <f>H17*7.5%</f>
        <v>8528.8083750000005</v>
      </c>
      <c r="I18" s="72" t="b">
        <f t="shared" si="4"/>
        <v>0</v>
      </c>
      <c r="J18" s="72"/>
      <c r="K18" s="72" t="s">
        <v>51</v>
      </c>
      <c r="L18" s="72"/>
      <c r="M18" s="72"/>
    </row>
    <row r="19" spans="1:13" s="56" customFormat="1">
      <c r="A19" s="72" t="s">
        <v>22</v>
      </c>
      <c r="B19" s="100">
        <f>B17+B18</f>
        <v>135049.97100000002</v>
      </c>
      <c r="C19" s="100">
        <f t="shared" si="0"/>
        <v>-6665.0994375000155</v>
      </c>
      <c r="D19" s="101">
        <f t="shared" si="1"/>
        <v>-4.9352838717011016E-2</v>
      </c>
      <c r="E19" s="100">
        <f>E17+E18</f>
        <v>128384.8715625</v>
      </c>
      <c r="F19" s="100">
        <f t="shared" si="2"/>
        <v>-6138.6181875000038</v>
      </c>
      <c r="G19" s="101">
        <f t="shared" si="3"/>
        <v>-4.781418645974668E-2</v>
      </c>
      <c r="H19" s="100">
        <f>H17+H18</f>
        <v>122246.253375</v>
      </c>
      <c r="I19" s="72" t="b">
        <f t="shared" si="4"/>
        <v>0</v>
      </c>
      <c r="J19" s="72"/>
      <c r="K19" s="72" t="s">
        <v>49</v>
      </c>
      <c r="L19" s="72"/>
      <c r="M19" s="72"/>
    </row>
    <row r="20" spans="1:13" s="56" customFormat="1">
      <c r="A20" s="72" t="s">
        <v>23</v>
      </c>
      <c r="B20" s="105">
        <f>B21-B19</f>
        <v>15005.552333333326</v>
      </c>
      <c r="C20" s="100">
        <f t="shared" si="0"/>
        <v>-740.56660416665545</v>
      </c>
      <c r="D20" s="101">
        <f t="shared" si="1"/>
        <v>-4.9352838717010183E-2</v>
      </c>
      <c r="E20" s="105">
        <f>E21-E19</f>
        <v>14264.98572916667</v>
      </c>
      <c r="F20" s="100">
        <f t="shared" si="2"/>
        <v>-682.06868750001013</v>
      </c>
      <c r="G20" s="101">
        <f t="shared" si="3"/>
        <v>-4.7814186459747346E-2</v>
      </c>
      <c r="H20" s="105">
        <f>H21-H19</f>
        <v>13582.91704166666</v>
      </c>
      <c r="I20" s="72" t="b">
        <f t="shared" si="4"/>
        <v>0</v>
      </c>
      <c r="J20" s="72"/>
      <c r="K20" s="72" t="s">
        <v>49</v>
      </c>
      <c r="L20" s="72"/>
      <c r="M20" s="72"/>
    </row>
    <row r="21" spans="1:13" s="56" customFormat="1">
      <c r="A21" s="72" t="s">
        <v>24</v>
      </c>
      <c r="B21" s="100">
        <f>B19/90%</f>
        <v>150055.52333333335</v>
      </c>
      <c r="C21" s="100">
        <f t="shared" si="0"/>
        <v>-7405.6660416666709</v>
      </c>
      <c r="D21" s="101">
        <f t="shared" si="1"/>
        <v>-4.9352838717010933E-2</v>
      </c>
      <c r="E21" s="100">
        <f>E19/90%</f>
        <v>142649.85729166667</v>
      </c>
      <c r="F21" s="100">
        <f t="shared" si="2"/>
        <v>-6820.686875000014</v>
      </c>
      <c r="G21" s="101">
        <f t="shared" si="3"/>
        <v>-4.7814186459746742E-2</v>
      </c>
      <c r="H21" s="100">
        <f>H19/90%</f>
        <v>135829.17041666666</v>
      </c>
      <c r="I21" s="72" t="b">
        <f t="shared" si="4"/>
        <v>0</v>
      </c>
      <c r="J21" s="72"/>
      <c r="K21" s="72" t="s">
        <v>49</v>
      </c>
      <c r="L21" s="72"/>
      <c r="M21" s="72"/>
    </row>
    <row r="22" spans="1:13">
      <c r="A22" s="72"/>
      <c r="B22" s="72"/>
      <c r="C22" s="72"/>
      <c r="D22" s="72"/>
      <c r="E22" s="72"/>
      <c r="F22" s="72"/>
      <c r="G22" s="72"/>
      <c r="H22" s="72"/>
      <c r="I22" s="72"/>
      <c r="J22" s="72"/>
      <c r="K22" s="72"/>
      <c r="L22" s="72"/>
      <c r="M22" s="72"/>
    </row>
    <row r="23" spans="1:13">
      <c r="A23" s="72" t="s">
        <v>30</v>
      </c>
      <c r="B23" s="106"/>
      <c r="C23" s="106">
        <f>D23-250</f>
        <v>1000</v>
      </c>
      <c r="D23" s="106">
        <f>E23-250</f>
        <v>1250</v>
      </c>
      <c r="E23" s="106">
        <v>1500</v>
      </c>
      <c r="F23" s="106">
        <f>E23+250</f>
        <v>1750</v>
      </c>
      <c r="G23" s="106">
        <f t="shared" ref="G23:I23" si="5">F23+250</f>
        <v>2000</v>
      </c>
      <c r="H23" s="106">
        <f t="shared" si="5"/>
        <v>2250</v>
      </c>
      <c r="I23" s="106">
        <f t="shared" si="5"/>
        <v>2500</v>
      </c>
      <c r="J23" s="72"/>
      <c r="K23" s="72"/>
      <c r="L23" s="72"/>
      <c r="M23" s="72"/>
    </row>
    <row r="24" spans="1:13">
      <c r="A24" s="72"/>
      <c r="B24" s="100"/>
      <c r="C24" s="72"/>
      <c r="D24" s="72"/>
      <c r="E24" s="100">
        <v>70000</v>
      </c>
      <c r="F24" s="100">
        <f>E24*F26</f>
        <v>69475</v>
      </c>
      <c r="G24" s="100">
        <f t="shared" ref="G24:I24" si="6">F24*G26</f>
        <v>67919.628437499996</v>
      </c>
      <c r="H24" s="100">
        <f t="shared" si="6"/>
        <v>65395.565245691403</v>
      </c>
      <c r="I24" s="100">
        <f t="shared" si="6"/>
        <v>62006.440076833445</v>
      </c>
      <c r="J24" s="72"/>
      <c r="K24" s="72"/>
      <c r="L24" s="72"/>
      <c r="M24" s="72"/>
    </row>
    <row r="25" spans="1:13" s="70" customFormat="1">
      <c r="A25" s="107"/>
      <c r="B25" s="107"/>
      <c r="C25" s="107">
        <f>D25+0.75%</f>
        <v>1.4999999999999999E-2</v>
      </c>
      <c r="D25" s="107">
        <v>7.4999999999999997E-3</v>
      </c>
      <c r="E25" s="107">
        <v>0</v>
      </c>
      <c r="F25" s="107">
        <v>-7.4999999999999997E-3</v>
      </c>
      <c r="G25" s="107">
        <f>F25-0.75%</f>
        <v>-1.4999999999999999E-2</v>
      </c>
      <c r="H25" s="107">
        <f t="shared" ref="H25:I25" si="7">G25-0.75%</f>
        <v>-2.2499999999999999E-2</v>
      </c>
      <c r="I25" s="107">
        <f t="shared" si="7"/>
        <v>-0.03</v>
      </c>
      <c r="J25" s="107"/>
      <c r="K25" s="107"/>
      <c r="L25" s="107"/>
      <c r="M25" s="107"/>
    </row>
    <row r="26" spans="1:13">
      <c r="A26" s="72"/>
      <c r="B26" s="72"/>
      <c r="C26" s="72"/>
      <c r="D26" s="72"/>
      <c r="E26" s="72"/>
      <c r="F26" s="72">
        <f>(1+F25)*(1+E25)</f>
        <v>0.99250000000000005</v>
      </c>
      <c r="G26" s="72">
        <f>(1+G25)*(1+F25)</f>
        <v>0.9776125</v>
      </c>
      <c r="H26" s="72">
        <f>(1+H25)*(1+G25)</f>
        <v>0.96283750000000001</v>
      </c>
      <c r="I26" s="72">
        <f>(1+I25)*(1+H25)</f>
        <v>0.94817499999999999</v>
      </c>
      <c r="J26" s="72"/>
      <c r="K26" s="72"/>
      <c r="L26" s="72"/>
      <c r="M26" s="72"/>
    </row>
    <row r="27" spans="1:13">
      <c r="A27" s="72"/>
      <c r="B27" s="72"/>
      <c r="C27" s="72"/>
      <c r="D27" s="72"/>
      <c r="E27" s="72"/>
      <c r="F27" s="72"/>
      <c r="G27" s="72"/>
      <c r="H27" s="72"/>
      <c r="I27" s="72"/>
      <c r="J27" s="72"/>
      <c r="K27" s="72"/>
      <c r="L27" s="72"/>
      <c r="M27" s="72"/>
    </row>
    <row r="28" spans="1:13">
      <c r="A28" s="72"/>
      <c r="B28" s="72"/>
      <c r="C28" s="72"/>
      <c r="D28" s="72"/>
      <c r="E28" s="72"/>
      <c r="F28" s="72"/>
      <c r="G28" s="72"/>
      <c r="H28" s="72"/>
      <c r="I28" s="72"/>
      <c r="J28" s="72"/>
      <c r="K28" s="72"/>
      <c r="L28" s="72"/>
      <c r="M28" s="72"/>
    </row>
    <row r="29" spans="1:13">
      <c r="A29" s="72"/>
      <c r="B29" s="72"/>
      <c r="C29" s="72"/>
      <c r="D29" s="72"/>
      <c r="E29" s="72"/>
      <c r="F29" s="72"/>
      <c r="G29" s="72"/>
      <c r="H29" s="72"/>
      <c r="I29" s="72"/>
      <c r="J29" s="72"/>
      <c r="K29" s="72"/>
      <c r="L29" s="72"/>
      <c r="M29" s="72"/>
    </row>
    <row r="30" spans="1:13">
      <c r="A30" s="72"/>
      <c r="B30" s="72"/>
      <c r="C30" s="72"/>
      <c r="D30" s="72"/>
      <c r="E30" s="72"/>
      <c r="F30" s="72"/>
      <c r="G30" s="72"/>
      <c r="H30" s="72"/>
      <c r="I30" s="72"/>
      <c r="J30" s="72"/>
      <c r="K30" s="72"/>
      <c r="L30" s="72"/>
      <c r="M30" s="72"/>
    </row>
  </sheetData>
  <mergeCells count="2">
    <mergeCell ref="C3:D3"/>
    <mergeCell ref="F3:G3"/>
  </mergeCells>
  <pageMargins left="0.7" right="0.7" top="0.78740157499999996" bottom="0.78740157499999996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workbookViewId="0">
      <selection activeCell="E14" sqref="E14"/>
    </sheetView>
  </sheetViews>
  <sheetFormatPr baseColWidth="10" defaultRowHeight="14" x14ac:dyDescent="0"/>
  <cols>
    <col min="1" max="1" width="35.5" bestFit="1" customWidth="1"/>
  </cols>
  <sheetData>
    <row r="1" spans="1:7">
      <c r="A1" s="108" t="s">
        <v>25</v>
      </c>
      <c r="B1" s="72"/>
      <c r="C1" s="72"/>
      <c r="D1" s="72"/>
      <c r="E1" s="72"/>
      <c r="F1" s="72"/>
      <c r="G1" s="72"/>
    </row>
    <row r="2" spans="1:7">
      <c r="A2" s="72"/>
      <c r="B2" s="72"/>
      <c r="C2" s="72"/>
      <c r="D2" s="72"/>
      <c r="E2" s="72"/>
      <c r="F2" s="72"/>
      <c r="G2" s="72"/>
    </row>
    <row r="3" spans="1:7">
      <c r="A3" s="72" t="s">
        <v>1</v>
      </c>
      <c r="B3" s="100"/>
      <c r="C3" s="100">
        <v>94230</v>
      </c>
      <c r="D3" s="72"/>
      <c r="E3" s="72"/>
      <c r="F3" s="72"/>
      <c r="G3" s="72"/>
    </row>
    <row r="4" spans="1:7">
      <c r="A4" s="72" t="s">
        <v>3</v>
      </c>
      <c r="B4" s="100"/>
      <c r="C4" s="100"/>
      <c r="D4" s="72"/>
      <c r="E4" s="72"/>
      <c r="F4" s="72"/>
      <c r="G4" s="72"/>
    </row>
    <row r="5" spans="1:7">
      <c r="A5" s="103" t="s">
        <v>12</v>
      </c>
      <c r="B5" s="100">
        <v>2130</v>
      </c>
      <c r="C5" s="100"/>
      <c r="D5" s="72"/>
      <c r="E5" s="72"/>
      <c r="F5" s="72"/>
      <c r="G5" s="72"/>
    </row>
    <row r="6" spans="1:7">
      <c r="A6" s="103" t="s">
        <v>13</v>
      </c>
      <c r="B6" s="100">
        <v>14055</v>
      </c>
      <c r="C6" s="100"/>
      <c r="D6" s="72"/>
      <c r="E6" s="72"/>
      <c r="F6" s="72"/>
      <c r="G6" s="72"/>
    </row>
    <row r="7" spans="1:7">
      <c r="A7" s="103" t="s">
        <v>14</v>
      </c>
      <c r="B7" s="105">
        <v>18645</v>
      </c>
      <c r="C7" s="100"/>
      <c r="D7" s="72"/>
      <c r="E7" s="72"/>
      <c r="F7" s="72"/>
      <c r="G7" s="72"/>
    </row>
    <row r="8" spans="1:7">
      <c r="A8" s="72" t="s">
        <v>2</v>
      </c>
      <c r="B8" s="100">
        <f>SUM(B5:B7)</f>
        <v>34830</v>
      </c>
      <c r="C8" s="100"/>
      <c r="D8" s="72"/>
      <c r="E8" s="72"/>
      <c r="F8" s="72"/>
      <c r="G8" s="72"/>
    </row>
    <row r="9" spans="1:7">
      <c r="A9" s="72" t="s">
        <v>26</v>
      </c>
      <c r="B9" s="100">
        <f>B8*165%</f>
        <v>57469.5</v>
      </c>
      <c r="C9" s="100"/>
      <c r="D9" s="72"/>
      <c r="E9" s="72"/>
      <c r="F9" s="72"/>
      <c r="G9" s="72"/>
    </row>
    <row r="10" spans="1:7">
      <c r="A10" s="72" t="s">
        <v>4</v>
      </c>
      <c r="B10" s="100"/>
      <c r="C10" s="105">
        <f>B8+B9</f>
        <v>92299.5</v>
      </c>
      <c r="D10" s="72"/>
      <c r="E10" s="72"/>
      <c r="F10" s="72"/>
      <c r="G10" s="72"/>
    </row>
    <row r="11" spans="1:7">
      <c r="A11" s="72" t="s">
        <v>5</v>
      </c>
      <c r="B11" s="100"/>
      <c r="C11" s="100">
        <f>C3+C10</f>
        <v>186529.5</v>
      </c>
      <c r="D11" s="72"/>
      <c r="E11" s="72"/>
      <c r="F11" s="72"/>
      <c r="G11" s="72"/>
    </row>
    <row r="12" spans="1:7">
      <c r="A12" s="72" t="s">
        <v>6</v>
      </c>
      <c r="B12" s="100">
        <v>11460</v>
      </c>
      <c r="C12" s="100"/>
      <c r="D12" s="72"/>
      <c r="E12" s="72"/>
      <c r="F12" s="72"/>
      <c r="G12" s="72"/>
    </row>
    <row r="13" spans="1:7">
      <c r="A13" s="72" t="s">
        <v>7</v>
      </c>
      <c r="B13" s="105">
        <f>B12*150%</f>
        <v>17190</v>
      </c>
      <c r="C13" s="100"/>
      <c r="D13" s="72"/>
      <c r="E13" s="72"/>
      <c r="F13" s="72"/>
      <c r="G13" s="72"/>
    </row>
    <row r="14" spans="1:7">
      <c r="A14" s="72" t="s">
        <v>8</v>
      </c>
      <c r="B14" s="100"/>
      <c r="C14" s="100">
        <f>B12+B13</f>
        <v>28650</v>
      </c>
      <c r="D14" s="72"/>
      <c r="E14" s="72"/>
      <c r="F14" s="72"/>
      <c r="G14" s="72"/>
    </row>
    <row r="15" spans="1:7">
      <c r="A15" s="72" t="s">
        <v>9</v>
      </c>
      <c r="B15" s="100"/>
      <c r="C15" s="105">
        <f>C11*2.5%</f>
        <v>4663.2375000000002</v>
      </c>
      <c r="D15" s="72"/>
      <c r="E15" s="72"/>
      <c r="F15" s="72"/>
      <c r="G15" s="72"/>
    </row>
    <row r="16" spans="1:7">
      <c r="A16" s="72" t="s">
        <v>10</v>
      </c>
      <c r="B16" s="100"/>
      <c r="C16" s="100">
        <f>C11+C14+C15</f>
        <v>219842.73749999999</v>
      </c>
      <c r="D16" s="72"/>
      <c r="E16" s="72"/>
      <c r="F16" s="72"/>
      <c r="G16" s="72"/>
    </row>
    <row r="17" spans="1:7">
      <c r="A17" s="72" t="s">
        <v>21</v>
      </c>
      <c r="B17" s="100"/>
      <c r="C17" s="105">
        <f>C16*7.5%</f>
        <v>16488.205312499998</v>
      </c>
      <c r="D17" s="72"/>
      <c r="E17" s="72"/>
      <c r="F17" s="72"/>
      <c r="G17" s="72"/>
    </row>
    <row r="18" spans="1:7">
      <c r="A18" s="72" t="s">
        <v>22</v>
      </c>
      <c r="B18" s="100"/>
      <c r="C18" s="100">
        <f>C16+C17</f>
        <v>236330.9428125</v>
      </c>
      <c r="D18" s="72"/>
      <c r="E18" s="72"/>
      <c r="F18" s="72"/>
      <c r="G18" s="72"/>
    </row>
    <row r="19" spans="1:7">
      <c r="A19" s="72"/>
      <c r="B19" s="72"/>
      <c r="C19" s="72"/>
      <c r="D19" s="72"/>
      <c r="E19" s="72"/>
      <c r="F19" s="72"/>
      <c r="G19" s="72"/>
    </row>
    <row r="20" spans="1:7">
      <c r="A20" s="72"/>
      <c r="B20" s="72"/>
      <c r="C20" s="72"/>
      <c r="D20" s="72"/>
      <c r="E20" s="72"/>
      <c r="F20" s="72"/>
      <c r="G20" s="72"/>
    </row>
  </sheetData>
  <pageMargins left="0.7" right="0.7" top="0.78740157499999996" bottom="0.78740157499999996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workbookViewId="0">
      <selection activeCell="A2" sqref="A2"/>
    </sheetView>
  </sheetViews>
  <sheetFormatPr baseColWidth="10" defaultRowHeight="14" x14ac:dyDescent="0"/>
  <cols>
    <col min="1" max="1" width="35.5" bestFit="1" customWidth="1"/>
  </cols>
  <sheetData>
    <row r="1" spans="1:10">
      <c r="A1" s="108" t="s">
        <v>59</v>
      </c>
      <c r="B1" s="72"/>
      <c r="C1" s="72"/>
      <c r="D1" s="72"/>
      <c r="E1" s="72"/>
      <c r="F1" s="72"/>
      <c r="G1" s="72"/>
      <c r="H1" s="72"/>
      <c r="I1" s="72"/>
      <c r="J1" s="72"/>
    </row>
    <row r="2" spans="1:10">
      <c r="A2" s="72"/>
      <c r="B2" s="72"/>
      <c r="C2" s="72"/>
      <c r="D2" s="72"/>
      <c r="E2" s="72"/>
      <c r="F2" s="72"/>
      <c r="G2" s="72"/>
      <c r="H2" s="72"/>
      <c r="I2" s="72"/>
      <c r="J2" s="72"/>
    </row>
    <row r="3" spans="1:10">
      <c r="A3" s="72" t="s">
        <v>1</v>
      </c>
      <c r="B3" s="100"/>
      <c r="C3" s="100">
        <v>72810</v>
      </c>
      <c r="D3" s="72"/>
      <c r="E3" s="72"/>
      <c r="F3" s="72"/>
      <c r="G3" s="72"/>
      <c r="H3" s="72"/>
      <c r="I3" s="72"/>
      <c r="J3" s="72"/>
    </row>
    <row r="4" spans="1:10">
      <c r="A4" s="72" t="s">
        <v>3</v>
      </c>
      <c r="B4" s="100"/>
      <c r="C4" s="100"/>
      <c r="D4" s="72"/>
      <c r="E4" s="72"/>
      <c r="F4" s="72"/>
      <c r="G4" s="72"/>
      <c r="H4" s="72"/>
      <c r="I4" s="72"/>
      <c r="J4" s="72"/>
    </row>
    <row r="5" spans="1:10">
      <c r="A5" s="103" t="s">
        <v>12</v>
      </c>
      <c r="B5" s="100">
        <v>270</v>
      </c>
      <c r="C5" s="100"/>
      <c r="D5" s="72"/>
      <c r="E5" s="72"/>
      <c r="F5" s="72"/>
      <c r="G5" s="72"/>
      <c r="H5" s="72"/>
      <c r="I5" s="72"/>
      <c r="J5" s="72"/>
    </row>
    <row r="6" spans="1:10">
      <c r="A6" s="103" t="s">
        <v>13</v>
      </c>
      <c r="B6" s="100">
        <v>7785</v>
      </c>
      <c r="C6" s="100"/>
      <c r="D6" s="72"/>
      <c r="E6" s="72"/>
      <c r="F6" s="72"/>
      <c r="G6" s="72"/>
      <c r="H6" s="72"/>
      <c r="I6" s="72"/>
      <c r="J6" s="72"/>
    </row>
    <row r="7" spans="1:10">
      <c r="A7" s="103" t="s">
        <v>14</v>
      </c>
      <c r="B7" s="105">
        <v>5655</v>
      </c>
      <c r="C7" s="100"/>
      <c r="D7" s="72"/>
      <c r="E7" s="72"/>
      <c r="F7" s="72"/>
      <c r="G7" s="72"/>
      <c r="H7" s="72"/>
      <c r="I7" s="72"/>
      <c r="J7" s="72"/>
    </row>
    <row r="8" spans="1:10">
      <c r="A8" s="72" t="s">
        <v>2</v>
      </c>
      <c r="B8" s="100">
        <f>SUM(B5:B7)</f>
        <v>13710</v>
      </c>
      <c r="C8" s="100"/>
      <c r="D8" s="72"/>
      <c r="E8" s="72"/>
      <c r="F8" s="72"/>
      <c r="G8" s="72"/>
      <c r="H8" s="72"/>
      <c r="I8" s="72"/>
      <c r="J8" s="72"/>
    </row>
    <row r="9" spans="1:10">
      <c r="A9" s="72" t="s">
        <v>26</v>
      </c>
      <c r="B9" s="100">
        <f>B8*165%</f>
        <v>22621.5</v>
      </c>
      <c r="C9" s="100"/>
      <c r="D9" s="72"/>
      <c r="E9" s="72"/>
      <c r="F9" s="72"/>
      <c r="G9" s="72"/>
      <c r="H9" s="72"/>
      <c r="I9" s="72"/>
      <c r="J9" s="72"/>
    </row>
    <row r="10" spans="1:10">
      <c r="A10" s="72" t="s">
        <v>4</v>
      </c>
      <c r="B10" s="100"/>
      <c r="C10" s="105">
        <f>B8+B9</f>
        <v>36331.5</v>
      </c>
      <c r="D10" s="72"/>
      <c r="E10" s="72"/>
      <c r="F10" s="72"/>
      <c r="G10" s="72"/>
      <c r="H10" s="72"/>
      <c r="I10" s="72"/>
      <c r="J10" s="72"/>
    </row>
    <row r="11" spans="1:10">
      <c r="A11" s="72" t="s">
        <v>5</v>
      </c>
      <c r="B11" s="100"/>
      <c r="C11" s="100">
        <f>C3+C10</f>
        <v>109141.5</v>
      </c>
      <c r="D11" s="72"/>
      <c r="E11" s="72"/>
      <c r="F11" s="72"/>
      <c r="G11" s="72"/>
      <c r="H11" s="72"/>
      <c r="I11" s="72"/>
      <c r="J11" s="72"/>
    </row>
    <row r="12" spans="1:10">
      <c r="A12" s="72" t="s">
        <v>6</v>
      </c>
      <c r="B12" s="100">
        <v>7455</v>
      </c>
      <c r="C12" s="100"/>
      <c r="D12" s="72"/>
      <c r="E12" s="72"/>
      <c r="F12" s="72"/>
      <c r="G12" s="72"/>
      <c r="H12" s="72"/>
      <c r="I12" s="72"/>
      <c r="J12" s="72"/>
    </row>
    <row r="13" spans="1:10">
      <c r="A13" s="72" t="s">
        <v>27</v>
      </c>
      <c r="B13" s="105">
        <f>B12*140%</f>
        <v>10437</v>
      </c>
      <c r="C13" s="100"/>
      <c r="D13" s="72"/>
      <c r="E13" s="72"/>
      <c r="F13" s="72"/>
      <c r="G13" s="72"/>
      <c r="H13" s="72"/>
      <c r="I13" s="72"/>
      <c r="J13" s="72"/>
    </row>
    <row r="14" spans="1:10">
      <c r="A14" s="72" t="s">
        <v>8</v>
      </c>
      <c r="B14" s="100"/>
      <c r="C14" s="100">
        <f>B12+B13</f>
        <v>17892</v>
      </c>
      <c r="D14" s="72"/>
      <c r="E14" s="72"/>
      <c r="F14" s="72"/>
      <c r="G14" s="72"/>
      <c r="H14" s="72"/>
      <c r="I14" s="72"/>
      <c r="J14" s="72"/>
    </row>
    <row r="15" spans="1:10">
      <c r="A15" s="72" t="s">
        <v>9</v>
      </c>
      <c r="B15" s="100"/>
      <c r="C15" s="105">
        <f>C11*2.5%</f>
        <v>2728.5375000000004</v>
      </c>
      <c r="D15" s="72"/>
      <c r="E15" s="72"/>
      <c r="F15" s="72"/>
      <c r="G15" s="72"/>
      <c r="H15" s="72"/>
      <c r="I15" s="72"/>
      <c r="J15" s="72"/>
    </row>
    <row r="16" spans="1:10">
      <c r="A16" s="72" t="s">
        <v>10</v>
      </c>
      <c r="B16" s="100"/>
      <c r="C16" s="100">
        <f>C11+C14+C15</f>
        <v>129762.03750000001</v>
      </c>
      <c r="D16" s="72"/>
      <c r="E16" s="72"/>
      <c r="F16" s="72"/>
      <c r="G16" s="72"/>
      <c r="H16" s="72"/>
      <c r="I16" s="72"/>
      <c r="J16" s="72"/>
    </row>
    <row r="17" spans="1:10">
      <c r="A17" s="72" t="s">
        <v>21</v>
      </c>
      <c r="B17" s="100"/>
      <c r="C17" s="105">
        <f>C16*7.5%</f>
        <v>9732.1528125000004</v>
      </c>
      <c r="D17" s="72"/>
      <c r="E17" s="72"/>
      <c r="F17" s="72"/>
      <c r="G17" s="72"/>
      <c r="H17" s="72"/>
      <c r="I17" s="72"/>
      <c r="J17" s="72"/>
    </row>
    <row r="18" spans="1:10">
      <c r="A18" s="72" t="s">
        <v>22</v>
      </c>
      <c r="B18" s="100"/>
      <c r="C18" s="100">
        <f>C16+C17</f>
        <v>139494.1903125</v>
      </c>
      <c r="D18" s="72" t="s">
        <v>28</v>
      </c>
      <c r="E18" s="72"/>
      <c r="F18" s="72"/>
      <c r="G18" s="72"/>
      <c r="H18" s="72"/>
      <c r="I18" s="72"/>
      <c r="J18" s="72"/>
    </row>
    <row r="19" spans="1:10">
      <c r="A19" s="72"/>
      <c r="B19" s="72"/>
      <c r="C19" s="72"/>
      <c r="D19" s="72"/>
      <c r="E19" s="72"/>
      <c r="F19" s="72"/>
      <c r="G19" s="72"/>
      <c r="H19" s="72"/>
      <c r="I19" s="72"/>
      <c r="J19" s="72"/>
    </row>
    <row r="20" spans="1:10">
      <c r="A20" s="72"/>
      <c r="B20" s="72"/>
      <c r="C20" s="72"/>
      <c r="D20" s="72"/>
      <c r="E20" s="72"/>
      <c r="F20" s="72"/>
      <c r="G20" s="72"/>
      <c r="H20" s="72"/>
      <c r="I20" s="72"/>
      <c r="J20" s="72"/>
    </row>
    <row r="21" spans="1:10">
      <c r="A21" s="72" t="s">
        <v>58</v>
      </c>
      <c r="B21" s="72"/>
      <c r="C21" s="72"/>
      <c r="D21" s="72"/>
      <c r="E21" s="72"/>
      <c r="F21" s="72"/>
      <c r="G21" s="72"/>
      <c r="H21" s="72"/>
      <c r="I21" s="72"/>
      <c r="J21" s="72"/>
    </row>
    <row r="22" spans="1:10">
      <c r="A22" s="72" t="s">
        <v>55</v>
      </c>
      <c r="B22" s="72"/>
      <c r="C22" s="72"/>
      <c r="D22" s="72"/>
      <c r="E22" s="72"/>
      <c r="F22" s="72"/>
      <c r="G22" s="72"/>
      <c r="H22" s="72"/>
      <c r="I22" s="72"/>
      <c r="J22" s="72"/>
    </row>
    <row r="23" spans="1:10">
      <c r="A23" s="72"/>
      <c r="B23" s="72"/>
      <c r="C23" s="72"/>
      <c r="D23" s="72"/>
      <c r="E23" s="72"/>
      <c r="F23" s="72"/>
      <c r="G23" s="72"/>
      <c r="H23" s="72"/>
      <c r="I23" s="72"/>
      <c r="J23" s="72"/>
    </row>
    <row r="24" spans="1:10">
      <c r="A24" s="72"/>
      <c r="B24" s="72"/>
      <c r="C24" s="72"/>
      <c r="D24" s="72"/>
      <c r="E24" s="72"/>
      <c r="F24" s="72"/>
      <c r="G24" s="72"/>
      <c r="H24" s="72"/>
      <c r="I24" s="72"/>
      <c r="J24" s="72"/>
    </row>
    <row r="25" spans="1:10">
      <c r="A25" s="72"/>
      <c r="B25" s="72"/>
      <c r="C25" s="72"/>
      <c r="D25" s="72"/>
      <c r="E25" s="72"/>
      <c r="F25" s="72"/>
      <c r="G25" s="72"/>
      <c r="H25" s="72"/>
      <c r="I25" s="72"/>
      <c r="J25" s="72"/>
    </row>
    <row r="26" spans="1:10">
      <c r="A26" s="72"/>
      <c r="B26" s="72"/>
      <c r="C26" s="72"/>
      <c r="D26" s="72"/>
      <c r="E26" s="72"/>
      <c r="F26" s="72"/>
      <c r="G26" s="72"/>
      <c r="H26" s="72"/>
      <c r="I26" s="72"/>
      <c r="J26" s="72"/>
    </row>
    <row r="27" spans="1:10">
      <c r="A27" s="72"/>
      <c r="B27" s="72"/>
      <c r="C27" s="72"/>
      <c r="D27" s="72"/>
      <c r="E27" s="72"/>
      <c r="F27" s="72"/>
      <c r="G27" s="72"/>
      <c r="H27" s="72"/>
      <c r="I27" s="72"/>
      <c r="J27" s="72"/>
    </row>
  </sheetData>
  <pageMargins left="0.7" right="0.7" top="0.78740157499999996" bottom="0.78740157499999996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Exhibit 1</vt:lpstr>
      <vt:lpstr>Exhibit 2</vt:lpstr>
      <vt:lpstr>Exhibit 3</vt:lpstr>
      <vt:lpstr>Exhibit 4</vt:lpstr>
    </vt:vector>
  </TitlesOfParts>
  <Manager/>
  <Company>Casehero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Alexander Hoffmann</cp:lastModifiedBy>
  <dcterms:created xsi:type="dcterms:W3CDTF">2012-09-10T15:36:22Z</dcterms:created>
  <dcterms:modified xsi:type="dcterms:W3CDTF">2014-04-08T16:21:20Z</dcterms:modified>
  <cp:category/>
</cp:coreProperties>
</file>