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0490" windowHeight="7755" activeTab="1"/>
  </bookViews>
  <sheets>
    <sheet name="Costing Computation" sheetId="1" r:id="rId1"/>
    <sheet name="Comparisions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J11" i="4" s="1"/>
  <c r="I9" i="4"/>
  <c r="I13" i="4" s="1"/>
  <c r="H9" i="4"/>
  <c r="H13" i="4" s="1"/>
  <c r="G9" i="4"/>
  <c r="G13" i="4" s="1"/>
  <c r="F9" i="4"/>
  <c r="F11" i="4" s="1"/>
  <c r="E9" i="4"/>
  <c r="E13" i="4" s="1"/>
  <c r="D9" i="4"/>
  <c r="D13" i="4" s="1"/>
  <c r="C9" i="4"/>
  <c r="C13" i="4" s="1"/>
  <c r="B9" i="4"/>
  <c r="B11" i="4" s="1"/>
  <c r="J5" i="4"/>
  <c r="I5" i="4"/>
  <c r="H5" i="4"/>
  <c r="G5" i="4"/>
  <c r="F5" i="4"/>
  <c r="E5" i="4"/>
  <c r="D5" i="4"/>
  <c r="C5" i="4"/>
  <c r="B5" i="4"/>
  <c r="B18" i="4" s="1"/>
  <c r="L41" i="1"/>
  <c r="L39" i="1"/>
  <c r="N38" i="1"/>
  <c r="N39" i="1" s="1"/>
  <c r="L38" i="1"/>
  <c r="N37" i="1"/>
  <c r="N41" i="1" s="1"/>
  <c r="M37" i="1"/>
  <c r="M38" i="1" s="1"/>
  <c r="M39" i="1" s="1"/>
  <c r="L37" i="1"/>
  <c r="D37" i="1"/>
  <c r="C37" i="1"/>
  <c r="B37" i="1"/>
  <c r="D36" i="1"/>
  <c r="C36" i="1"/>
  <c r="B36" i="1"/>
  <c r="N34" i="1"/>
  <c r="L34" i="1"/>
  <c r="N33" i="1"/>
  <c r="M33" i="1"/>
  <c r="M34" i="1" s="1"/>
  <c r="L33" i="1"/>
  <c r="N29" i="1"/>
  <c r="O29" i="1" s="1"/>
  <c r="M29" i="1"/>
  <c r="M30" i="1" s="1"/>
  <c r="L29" i="1"/>
  <c r="L30" i="1" s="1"/>
  <c r="N28" i="1"/>
  <c r="M28" i="1"/>
  <c r="L28" i="1"/>
  <c r="O27" i="1"/>
  <c r="B27" i="1"/>
  <c r="N26" i="1"/>
  <c r="M26" i="1"/>
  <c r="L26" i="1"/>
  <c r="G19" i="1"/>
  <c r="F19" i="1"/>
  <c r="F18" i="1"/>
  <c r="G18" i="1" s="1"/>
  <c r="M17" i="1"/>
  <c r="M18" i="1" s="1"/>
  <c r="M21" i="1" s="1"/>
  <c r="M23" i="1" s="1"/>
  <c r="F17" i="1"/>
  <c r="G17" i="1" s="1"/>
  <c r="N16" i="1"/>
  <c r="N17" i="1" s="1"/>
  <c r="N18" i="1" s="1"/>
  <c r="N21" i="1" s="1"/>
  <c r="N23" i="1" s="1"/>
  <c r="M16" i="1"/>
  <c r="L16" i="1"/>
  <c r="L17" i="1" s="1"/>
  <c r="L18" i="1" s="1"/>
  <c r="O15" i="1"/>
  <c r="G14" i="1"/>
  <c r="N8" i="1"/>
  <c r="M8" i="1"/>
  <c r="L8" i="1"/>
  <c r="N7" i="1"/>
  <c r="M7" i="1"/>
  <c r="L7" i="1"/>
  <c r="N5" i="1"/>
  <c r="N9" i="1" s="1"/>
  <c r="M5" i="1"/>
  <c r="M9" i="1" s="1"/>
  <c r="L5" i="1"/>
  <c r="L9" i="1" s="1"/>
  <c r="P4" i="1"/>
  <c r="L21" i="1" l="1"/>
  <c r="L23" i="1"/>
  <c r="L43" i="1" s="1"/>
  <c r="L45" i="1" s="1"/>
  <c r="C20" i="4"/>
  <c r="D20" i="4" s="1"/>
  <c r="P23" i="1"/>
  <c r="N43" i="1"/>
  <c r="N45" i="1" s="1"/>
  <c r="C11" i="4"/>
  <c r="G11" i="4"/>
  <c r="B13" i="4"/>
  <c r="C18" i="4" s="1"/>
  <c r="D18" i="4" s="1"/>
  <c r="F13" i="4"/>
  <c r="C19" i="4" s="1"/>
  <c r="D19" i="4" s="1"/>
  <c r="J13" i="4"/>
  <c r="D11" i="4"/>
  <c r="H11" i="4"/>
  <c r="E11" i="4"/>
  <c r="I11" i="4"/>
  <c r="M41" i="1"/>
  <c r="M43" i="1" s="1"/>
  <c r="M45" i="1" s="1"/>
  <c r="N30" i="1"/>
</calcChain>
</file>

<file path=xl/sharedStrings.xml><?xml version="1.0" encoding="utf-8"?>
<sst xmlns="http://schemas.openxmlformats.org/spreadsheetml/2006/main" count="156" uniqueCount="121">
  <si>
    <t>Monthly production</t>
  </si>
  <si>
    <t>Product Lines</t>
  </si>
  <si>
    <t>Valves</t>
  </si>
  <si>
    <t>Pumps</t>
  </si>
  <si>
    <t>Flow Controllers</t>
  </si>
  <si>
    <t>(1 run)</t>
  </si>
  <si>
    <t>(5 run)</t>
  </si>
  <si>
    <t>(10 run)</t>
  </si>
  <si>
    <t>Monthly shipments</t>
  </si>
  <si>
    <t>(1 shipment)</t>
  </si>
  <si>
    <t>(7 shipment)</t>
  </si>
  <si>
    <t>(22 shipment)</t>
  </si>
  <si>
    <t>Manufacturing costs</t>
  </si>
  <si>
    <t>Material</t>
  </si>
  <si>
    <t>4 components</t>
  </si>
  <si>
    <t>5 components</t>
  </si>
  <si>
    <t>10 components</t>
  </si>
  <si>
    <t>2 @ $2 = 4</t>
  </si>
  <si>
    <t>2 @ $6 = 12</t>
  </si>
  <si>
    <t>3 @ $2 = 6</t>
  </si>
  <si>
    <t>2 @ $7 = 14</t>
  </si>
  <si>
    <t>4 @ $1 = 4</t>
  </si>
  <si>
    <t>5 @ $2 = 10</t>
  </si>
  <si>
    <t>1 @ $8 = 8</t>
  </si>
  <si>
    <t>Total Material</t>
  </si>
  <si>
    <t>Labor ($ 16 per hour)</t>
  </si>
  <si>
    <t>Set-up labor</t>
  </si>
  <si>
    <t>8 hours per production run</t>
  </si>
  <si>
    <t>12 hours per production run</t>
  </si>
  <si>
    <t>168 hours</t>
  </si>
  <si>
    <t>Run-Labor</t>
  </si>
  <si>
    <t>0.25 hours per unit</t>
  </si>
  <si>
    <t>0.5 hours per unit</t>
  </si>
  <si>
    <t>0.4 hours per unit</t>
  </si>
  <si>
    <t>9725 hours</t>
  </si>
  <si>
    <t>Machine usage</t>
  </si>
  <si>
    <t>0.2 hours per unit</t>
  </si>
  <si>
    <t>10800 hours</t>
  </si>
  <si>
    <t>Manufacturing Overhead</t>
  </si>
  <si>
    <t>Receiving</t>
  </si>
  <si>
    <t>Materials handling</t>
  </si>
  <si>
    <t>Engineering</t>
  </si>
  <si>
    <t>Packing and Shipping</t>
  </si>
  <si>
    <t>Maintenance</t>
  </si>
  <si>
    <t>Total</t>
  </si>
  <si>
    <t>Machine depreciation $ 25 per hour of use</t>
  </si>
  <si>
    <t>(units of production method)</t>
  </si>
  <si>
    <t>(oh)</t>
  </si>
  <si>
    <t>hours</t>
  </si>
  <si>
    <t>Costs</t>
  </si>
  <si>
    <t>Current Costing System</t>
  </si>
  <si>
    <t>Allocate the (oh) in proportion of direct run-labor hours = 682,688/155,600 = 439%</t>
  </si>
  <si>
    <t>Direct Labor</t>
  </si>
  <si>
    <t>(oh) allocation @ 439% of direct labor $</t>
  </si>
  <si>
    <t>Standard Unit Cost</t>
  </si>
  <si>
    <t>ABC</t>
  </si>
  <si>
    <t>Standard Costing</t>
  </si>
  <si>
    <t>Direct Material</t>
  </si>
  <si>
    <t>Material Oh</t>
  </si>
  <si>
    <t>Units</t>
  </si>
  <si>
    <t>Total Costs</t>
  </si>
  <si>
    <t>Receiving + Handling (220,000)</t>
  </si>
  <si>
    <t>Other Oh (machine hour basis)</t>
  </si>
  <si>
    <t>Depreciation+ Engineering+ Packing + maint</t>
  </si>
  <si>
    <t>Set-up Labor</t>
  </si>
  <si>
    <t>ABC Unit Cost</t>
  </si>
  <si>
    <t>Transaction + ABC</t>
  </si>
  <si>
    <t>4 tr</t>
  </si>
  <si>
    <t>25 tr</t>
  </si>
  <si>
    <t>4 transactions</t>
  </si>
  <si>
    <t>25 transactions</t>
  </si>
  <si>
    <t>100 transactions</t>
  </si>
  <si>
    <t>Total units</t>
  </si>
  <si>
    <t>Allocation of receiving costs</t>
  </si>
  <si>
    <t>Per Unit receiving cost</t>
  </si>
  <si>
    <t>Material Handling (once per run)</t>
  </si>
  <si>
    <t>For instance, flow controller require 10 components; each component is handled once per run; and there are 10 runs. Therefore, 100 transactions</t>
  </si>
  <si>
    <t>100 tr</t>
  </si>
  <si>
    <t>Per Unit handling cost</t>
  </si>
  <si>
    <t>Material Oh per unit cost</t>
  </si>
  <si>
    <t>Packaging and Shipping</t>
  </si>
  <si>
    <t>1 tr</t>
  </si>
  <si>
    <t>7 tr</t>
  </si>
  <si>
    <t>22 tr</t>
  </si>
  <si>
    <t>Allocation of shipping costs</t>
  </si>
  <si>
    <t>Shipping Cost per unit</t>
  </si>
  <si>
    <t>Allocation of Engg cost</t>
  </si>
  <si>
    <t>Maint</t>
  </si>
  <si>
    <t>Per unit maint cost</t>
  </si>
  <si>
    <t>total maint cost</t>
  </si>
  <si>
    <t>Per unit Engg cost</t>
  </si>
  <si>
    <t>Set-up Labor per unit</t>
  </si>
  <si>
    <t>Direct Labor per unit</t>
  </si>
  <si>
    <t>Direct Material per unit</t>
  </si>
  <si>
    <t>A</t>
  </si>
  <si>
    <t>B</t>
  </si>
  <si>
    <t>C</t>
  </si>
  <si>
    <t>D</t>
  </si>
  <si>
    <t>E</t>
  </si>
  <si>
    <t>F</t>
  </si>
  <si>
    <t>G</t>
  </si>
  <si>
    <t>Per unit cost</t>
  </si>
  <si>
    <t>Machine depreciation per unit</t>
  </si>
  <si>
    <t>H</t>
  </si>
  <si>
    <t>Indirect Costs</t>
  </si>
  <si>
    <t>Standard</t>
  </si>
  <si>
    <t>Transaction-ABC</t>
  </si>
  <si>
    <t>Actual Selling Price</t>
  </si>
  <si>
    <t>Vol</t>
  </si>
  <si>
    <t>Revenues</t>
  </si>
  <si>
    <t>COGS</t>
  </si>
  <si>
    <t>Net Income</t>
  </si>
  <si>
    <t>Gross Margin</t>
  </si>
  <si>
    <t>Direct Costs per Unit</t>
  </si>
  <si>
    <t>Indirect Costs per Unit</t>
  </si>
  <si>
    <t>Total Costs per Unit</t>
  </si>
  <si>
    <t>Rev</t>
  </si>
  <si>
    <t>Receiving costs (transactions per run)</t>
  </si>
  <si>
    <t>% share of receiving costs</t>
  </si>
  <si>
    <t>% share of Maint. Costs</t>
  </si>
  <si>
    <t>% share of shipping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</si>
</sst>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/>
    <xf numFmtId="0" fontId="2" fillId="0" borderId="4" xfId="0" applyFont="1" applyBorder="1"/>
    <xf numFmtId="0" fontId="0" fillId="0" borderId="4" xfId="0" applyFont="1" applyBorder="1"/>
    <xf numFmtId="0" fontId="0" fillId="0" borderId="4" xfId="0" applyFont="1" applyFill="1" applyBorder="1"/>
    <xf numFmtId="9" fontId="0" fillId="0" borderId="0" xfId="0" applyNumberFormat="1" applyBorder="1"/>
    <xf numFmtId="9" fontId="0" fillId="0" borderId="5" xfId="0" applyNumberFormat="1" applyBorder="1"/>
    <xf numFmtId="0" fontId="2" fillId="0" borderId="0" xfId="0" applyFont="1" applyBorder="1"/>
    <xf numFmtId="0" fontId="2" fillId="0" borderId="5" xfId="0" applyFont="1" applyBorder="1"/>
    <xf numFmtId="2" fontId="0" fillId="0" borderId="0" xfId="0" applyNumberFormat="1" applyBorder="1"/>
    <xf numFmtId="2" fontId="0" fillId="0" borderId="5" xfId="0" applyNumberFormat="1" applyBorder="1"/>
    <xf numFmtId="2" fontId="0" fillId="0" borderId="0" xfId="0" applyNumberFormat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9" fontId="0" fillId="0" borderId="0" xfId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2" fontId="0" fillId="0" borderId="10" xfId="0" applyNumberFormat="1" applyBorder="1"/>
    <xf numFmtId="2" fontId="0" fillId="0" borderId="11" xfId="0" applyNumberFormat="1" applyBorder="1"/>
    <xf numFmtId="0" fontId="0" fillId="0" borderId="10" xfId="0" applyBorder="1"/>
    <xf numFmtId="0" fontId="0" fillId="0" borderId="11" xfId="0" applyBorder="1"/>
    <xf numFmtId="9" fontId="0" fillId="0" borderId="10" xfId="1" applyFont="1" applyBorder="1"/>
    <xf numFmtId="9" fontId="0" fillId="0" borderId="11" xfId="1" applyFon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9" fontId="0" fillId="0" borderId="5" xfId="1" applyFont="1" applyBorder="1"/>
    <xf numFmtId="2" fontId="2" fillId="0" borderId="0" xfId="0" applyNumberFormat="1" applyFont="1" applyBorder="1"/>
    <xf numFmtId="2" fontId="2" fillId="0" borderId="5" xfId="0" applyNumberFormat="1" applyFont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zoomScale="60" zoomScaleNormal="60" workbookViewId="0">
      <selection activeCell="K34" sqref="K34"/>
    </sheetView>
  </sheetViews>
  <sheetFormatPr defaultRowHeight="12.75" x14ac:dyDescent="0.2"/>
  <cols>
    <col min="1" max="1" width="36.42578125" bestFit="1" customWidth="1"/>
    <col min="2" max="3" width="23" bestFit="1" customWidth="1"/>
    <col min="4" max="4" width="24" bestFit="1" customWidth="1"/>
    <col min="5" max="5" width="11.140625" bestFit="1" customWidth="1"/>
    <col min="6" max="6" width="6.7109375" bestFit="1" customWidth="1"/>
    <col min="10" max="10" width="10.28515625" customWidth="1"/>
    <col min="11" max="11" width="28.7109375" bestFit="1" customWidth="1"/>
    <col min="12" max="13" width="16.140625" bestFit="1" customWidth="1"/>
    <col min="14" max="14" width="16" bestFit="1" customWidth="1"/>
    <col min="15" max="15" width="13.28515625" bestFit="1" customWidth="1"/>
  </cols>
  <sheetData>
    <row r="1" spans="1:17" x14ac:dyDescent="0.2">
      <c r="A1" s="3" t="s">
        <v>56</v>
      </c>
      <c r="B1" s="3"/>
      <c r="J1" s="3" t="s">
        <v>55</v>
      </c>
    </row>
    <row r="2" spans="1:17" x14ac:dyDescent="0.2">
      <c r="L2" t="s">
        <v>2</v>
      </c>
      <c r="M2" t="s">
        <v>3</v>
      </c>
      <c r="N2" t="s">
        <v>4</v>
      </c>
    </row>
    <row r="3" spans="1:17" ht="13.5" thickBot="1" x14ac:dyDescent="0.25">
      <c r="A3" t="s">
        <v>1</v>
      </c>
      <c r="B3" t="s">
        <v>2</v>
      </c>
      <c r="C3" t="s">
        <v>3</v>
      </c>
      <c r="D3" t="s">
        <v>4</v>
      </c>
      <c r="K3" t="s">
        <v>59</v>
      </c>
      <c r="L3">
        <v>7500</v>
      </c>
      <c r="M3">
        <v>12500</v>
      </c>
      <c r="N3">
        <v>4000</v>
      </c>
    </row>
    <row r="4" spans="1:17" x14ac:dyDescent="0.2">
      <c r="A4" t="s">
        <v>0</v>
      </c>
      <c r="B4">
        <v>7500</v>
      </c>
      <c r="C4">
        <v>12500</v>
      </c>
      <c r="D4">
        <v>4000</v>
      </c>
      <c r="K4" s="4" t="s">
        <v>57</v>
      </c>
      <c r="L4" s="5">
        <v>16</v>
      </c>
      <c r="M4" s="5">
        <v>20</v>
      </c>
      <c r="N4" s="6">
        <v>22</v>
      </c>
      <c r="P4">
        <f>L4*L3+M4*M3+N4*N3</f>
        <v>458000</v>
      </c>
    </row>
    <row r="5" spans="1:17" x14ac:dyDescent="0.2">
      <c r="B5" s="2" t="s">
        <v>5</v>
      </c>
      <c r="C5" s="2" t="s">
        <v>6</v>
      </c>
      <c r="D5" s="2" t="s">
        <v>7</v>
      </c>
      <c r="J5" t="s">
        <v>61</v>
      </c>
      <c r="K5" s="7" t="s">
        <v>58</v>
      </c>
      <c r="L5" s="8">
        <f>(220000/458000)*16</f>
        <v>7.6855895196506552</v>
      </c>
      <c r="M5" s="8">
        <f>(220000/458000)*20</f>
        <v>9.606986899563319</v>
      </c>
      <c r="N5" s="9">
        <f>(220000/458000)*22</f>
        <v>10.567685589519652</v>
      </c>
    </row>
    <row r="6" spans="1:17" x14ac:dyDescent="0.2">
      <c r="A6" t="s">
        <v>8</v>
      </c>
      <c r="B6">
        <v>7500</v>
      </c>
      <c r="C6">
        <v>12500</v>
      </c>
      <c r="D6">
        <v>4000</v>
      </c>
      <c r="J6" s="1"/>
      <c r="K6" s="7" t="s">
        <v>52</v>
      </c>
      <c r="L6" s="8">
        <v>4</v>
      </c>
      <c r="M6" s="8">
        <v>8</v>
      </c>
      <c r="N6" s="9">
        <v>6.4</v>
      </c>
    </row>
    <row r="7" spans="1:17" x14ac:dyDescent="0.2">
      <c r="B7" s="2" t="s">
        <v>9</v>
      </c>
      <c r="C7" s="2" t="s">
        <v>10</v>
      </c>
      <c r="D7" s="2" t="s">
        <v>11</v>
      </c>
      <c r="K7" s="7" t="s">
        <v>64</v>
      </c>
      <c r="L7" s="8">
        <f>(8*16)/7500</f>
        <v>1.7066666666666667E-2</v>
      </c>
      <c r="M7" s="8">
        <f>(8*5*16)/12500</f>
        <v>5.1200000000000002E-2</v>
      </c>
      <c r="N7" s="9">
        <f>(12*10*16)/4000</f>
        <v>0.48</v>
      </c>
    </row>
    <row r="8" spans="1:17" x14ac:dyDescent="0.2">
      <c r="J8" t="s">
        <v>63</v>
      </c>
      <c r="K8" s="7" t="s">
        <v>62</v>
      </c>
      <c r="L8" s="8">
        <f>(460000/10800)*0.5</f>
        <v>21.296296296296298</v>
      </c>
      <c r="M8" s="8">
        <f>(460000/10800)*0.5</f>
        <v>21.296296296296298</v>
      </c>
      <c r="N8" s="9">
        <f>(460000/10800)*0.2</f>
        <v>8.518518518518519</v>
      </c>
    </row>
    <row r="9" spans="1:17" ht="13.5" thickBot="1" x14ac:dyDescent="0.25">
      <c r="A9" t="s">
        <v>12</v>
      </c>
      <c r="J9" s="1"/>
      <c r="K9" s="10" t="s">
        <v>65</v>
      </c>
      <c r="L9" s="11">
        <f>SUM(L4:L8)</f>
        <v>48.998952482613618</v>
      </c>
      <c r="M9" s="11">
        <f>SUM(M4:M8)</f>
        <v>58.954483195859616</v>
      </c>
      <c r="N9" s="12">
        <f>SUM(N4:N8)</f>
        <v>47.96620410803817</v>
      </c>
    </row>
    <row r="10" spans="1:17" x14ac:dyDescent="0.2">
      <c r="A10" t="s">
        <v>13</v>
      </c>
      <c r="B10" t="s">
        <v>14</v>
      </c>
      <c r="C10" t="s">
        <v>15</v>
      </c>
      <c r="D10" t="s">
        <v>16</v>
      </c>
    </row>
    <row r="11" spans="1:17" x14ac:dyDescent="0.2">
      <c r="B11" t="s">
        <v>17</v>
      </c>
      <c r="C11" t="s">
        <v>19</v>
      </c>
      <c r="D11" t="s">
        <v>21</v>
      </c>
    </row>
    <row r="12" spans="1:17" x14ac:dyDescent="0.2">
      <c r="B12" t="s">
        <v>18</v>
      </c>
      <c r="C12" t="s">
        <v>20</v>
      </c>
      <c r="D12" t="s">
        <v>22</v>
      </c>
    </row>
    <row r="13" spans="1:17" ht="13.5" thickBot="1" x14ac:dyDescent="0.25">
      <c r="D13" t="s">
        <v>23</v>
      </c>
      <c r="J13" s="3" t="s">
        <v>66</v>
      </c>
      <c r="L13" t="s">
        <v>2</v>
      </c>
      <c r="M13" t="s">
        <v>3</v>
      </c>
      <c r="N13" t="s">
        <v>4</v>
      </c>
      <c r="O13" t="s">
        <v>72</v>
      </c>
      <c r="P13" t="s">
        <v>60</v>
      </c>
    </row>
    <row r="14" spans="1:17" x14ac:dyDescent="0.2">
      <c r="A14" t="s">
        <v>24</v>
      </c>
      <c r="B14">
        <v>16</v>
      </c>
      <c r="C14">
        <v>20</v>
      </c>
      <c r="D14">
        <v>22</v>
      </c>
      <c r="G14">
        <f>16*7500+20*12500+22*4000</f>
        <v>458000</v>
      </c>
      <c r="J14" t="s">
        <v>94</v>
      </c>
      <c r="K14" s="13" t="s">
        <v>93</v>
      </c>
      <c r="L14" s="5">
        <v>16</v>
      </c>
      <c r="M14" s="5">
        <v>20</v>
      </c>
      <c r="N14" s="6">
        <v>22</v>
      </c>
    </row>
    <row r="15" spans="1:17" x14ac:dyDescent="0.2">
      <c r="J15" s="1"/>
      <c r="K15" s="7" t="s">
        <v>117</v>
      </c>
      <c r="L15" s="8" t="s">
        <v>69</v>
      </c>
      <c r="M15" s="8" t="s">
        <v>70</v>
      </c>
      <c r="N15" s="9" t="s">
        <v>71</v>
      </c>
      <c r="O15">
        <f>4+25+100</f>
        <v>129</v>
      </c>
      <c r="P15" s="1">
        <v>20000</v>
      </c>
      <c r="Q15" t="s">
        <v>76</v>
      </c>
    </row>
    <row r="16" spans="1:17" x14ac:dyDescent="0.2">
      <c r="A16" t="s">
        <v>25</v>
      </c>
      <c r="F16" t="s">
        <v>48</v>
      </c>
      <c r="G16" t="s">
        <v>49</v>
      </c>
      <c r="K16" s="7" t="s">
        <v>118</v>
      </c>
      <c r="L16" s="27">
        <f>4/129</f>
        <v>3.1007751937984496E-2</v>
      </c>
      <c r="M16" s="27">
        <f>25/129</f>
        <v>0.19379844961240311</v>
      </c>
      <c r="N16" s="41">
        <f>100/129</f>
        <v>0.77519379844961245</v>
      </c>
    </row>
    <row r="17" spans="1:16" x14ac:dyDescent="0.2">
      <c r="A17" t="s">
        <v>26</v>
      </c>
      <c r="B17" t="s">
        <v>27</v>
      </c>
      <c r="C17" t="s">
        <v>27</v>
      </c>
      <c r="D17" t="s">
        <v>28</v>
      </c>
      <c r="E17" t="s">
        <v>29</v>
      </c>
      <c r="F17">
        <f>8*1+8*5+12*10</f>
        <v>168</v>
      </c>
      <c r="G17">
        <f>F17*16</f>
        <v>2688</v>
      </c>
      <c r="H17" t="s">
        <v>47</v>
      </c>
      <c r="K17" s="7" t="s">
        <v>73</v>
      </c>
      <c r="L17" s="21">
        <f>20000*L16</f>
        <v>620.15503875968989</v>
      </c>
      <c r="M17" s="21">
        <f>20000*M16</f>
        <v>3875.968992248062</v>
      </c>
      <c r="N17" s="22">
        <f>20000*N16</f>
        <v>15503.875968992248</v>
      </c>
    </row>
    <row r="18" spans="1:16" x14ac:dyDescent="0.2">
      <c r="A18" t="s">
        <v>30</v>
      </c>
      <c r="B18" t="s">
        <v>31</v>
      </c>
      <c r="C18" t="s">
        <v>32</v>
      </c>
      <c r="D18" t="s">
        <v>33</v>
      </c>
      <c r="E18" t="s">
        <v>34</v>
      </c>
      <c r="F18">
        <f>0.25*7500+0.5*12500+0.4*4000</f>
        <v>9725</v>
      </c>
      <c r="G18">
        <f>F18*16</f>
        <v>155600</v>
      </c>
      <c r="K18" s="14" t="s">
        <v>74</v>
      </c>
      <c r="L18" s="21">
        <f>L17/7500</f>
        <v>8.2687338501291979E-2</v>
      </c>
      <c r="M18" s="21">
        <f>M17/12500</f>
        <v>0.31007751937984496</v>
      </c>
      <c r="N18" s="22">
        <f>N17/4000</f>
        <v>3.8759689922480622</v>
      </c>
    </row>
    <row r="19" spans="1:16" x14ac:dyDescent="0.2">
      <c r="A19" t="s">
        <v>35</v>
      </c>
      <c r="B19" t="s">
        <v>32</v>
      </c>
      <c r="C19" t="s">
        <v>32</v>
      </c>
      <c r="D19" t="s">
        <v>36</v>
      </c>
      <c r="E19" t="s">
        <v>37</v>
      </c>
      <c r="F19">
        <f>0.5*7500+0.5*12500+0.2*4000</f>
        <v>10800</v>
      </c>
      <c r="G19">
        <f>F19*16</f>
        <v>172800</v>
      </c>
      <c r="K19" s="7"/>
      <c r="L19" s="8"/>
      <c r="M19" s="8"/>
      <c r="N19" s="9"/>
    </row>
    <row r="20" spans="1:16" x14ac:dyDescent="0.2">
      <c r="K20" s="7" t="s">
        <v>75</v>
      </c>
      <c r="L20" s="8" t="s">
        <v>67</v>
      </c>
      <c r="M20" s="8" t="s">
        <v>68</v>
      </c>
      <c r="N20" s="9" t="s">
        <v>77</v>
      </c>
      <c r="O20">
        <v>129</v>
      </c>
      <c r="P20" s="1">
        <v>200000</v>
      </c>
    </row>
    <row r="21" spans="1:16" x14ac:dyDescent="0.2">
      <c r="A21" t="s">
        <v>38</v>
      </c>
      <c r="K21" s="15" t="s">
        <v>78</v>
      </c>
      <c r="L21" s="21">
        <f>L18*10</f>
        <v>0.82687338501291974</v>
      </c>
      <c r="M21" s="21">
        <f>M18*10</f>
        <v>3.1007751937984498</v>
      </c>
      <c r="N21" s="22">
        <f>N18*10</f>
        <v>38.759689922480625</v>
      </c>
    </row>
    <row r="22" spans="1:16" x14ac:dyDescent="0.2">
      <c r="A22" t="s">
        <v>39</v>
      </c>
      <c r="B22" s="1">
        <v>20000</v>
      </c>
      <c r="D22" t="s">
        <v>47</v>
      </c>
      <c r="K22" s="7"/>
      <c r="L22" s="21"/>
      <c r="M22" s="21"/>
      <c r="N22" s="22"/>
    </row>
    <row r="23" spans="1:16" x14ac:dyDescent="0.2">
      <c r="A23" t="s">
        <v>40</v>
      </c>
      <c r="B23" s="1">
        <v>200000</v>
      </c>
      <c r="D23" t="s">
        <v>47</v>
      </c>
      <c r="J23" t="s">
        <v>95</v>
      </c>
      <c r="K23" s="14" t="s">
        <v>79</v>
      </c>
      <c r="L23" s="21">
        <f>L18+L21</f>
        <v>0.90956072351421169</v>
      </c>
      <c r="M23" s="21">
        <f>M21+M18</f>
        <v>3.4108527131782949</v>
      </c>
      <c r="N23" s="22">
        <f>N21+N18</f>
        <v>42.635658914728687</v>
      </c>
      <c r="P23">
        <f>N23*4000+M23*12500+L23*7500</f>
        <v>220000</v>
      </c>
    </row>
    <row r="24" spans="1:16" x14ac:dyDescent="0.2">
      <c r="A24" t="s">
        <v>41</v>
      </c>
      <c r="B24" s="1">
        <v>100000</v>
      </c>
      <c r="D24" t="s">
        <v>47</v>
      </c>
      <c r="K24" s="7"/>
      <c r="L24" s="8"/>
      <c r="M24" s="8"/>
      <c r="N24" s="9"/>
    </row>
    <row r="25" spans="1:16" x14ac:dyDescent="0.2">
      <c r="A25" t="s">
        <v>42</v>
      </c>
      <c r="B25" s="1">
        <v>60000</v>
      </c>
      <c r="D25" t="s">
        <v>47</v>
      </c>
      <c r="J25" t="s">
        <v>96</v>
      </c>
      <c r="K25" s="14" t="s">
        <v>92</v>
      </c>
      <c r="L25" s="8">
        <v>4</v>
      </c>
      <c r="M25" s="8">
        <v>8</v>
      </c>
      <c r="N25" s="9">
        <v>6.4</v>
      </c>
    </row>
    <row r="26" spans="1:16" x14ac:dyDescent="0.2">
      <c r="A26" t="s">
        <v>43</v>
      </c>
      <c r="B26" s="1">
        <v>30000</v>
      </c>
      <c r="D26" t="s">
        <v>47</v>
      </c>
      <c r="J26" t="s">
        <v>97</v>
      </c>
      <c r="K26" s="14" t="s">
        <v>91</v>
      </c>
      <c r="L26" s="8">
        <f>(8*16)/7500</f>
        <v>1.7066666666666667E-2</v>
      </c>
      <c r="M26" s="8">
        <f>(8*5*16)/12500</f>
        <v>5.1200000000000002E-2</v>
      </c>
      <c r="N26" s="9">
        <f>(12*10*16)/4000</f>
        <v>0.48</v>
      </c>
    </row>
    <row r="27" spans="1:16" x14ac:dyDescent="0.2">
      <c r="A27" t="s">
        <v>44</v>
      </c>
      <c r="B27" s="1">
        <f>SUM(B22:B26)</f>
        <v>410000</v>
      </c>
      <c r="D27" t="s">
        <v>47</v>
      </c>
      <c r="K27" s="16" t="s">
        <v>80</v>
      </c>
      <c r="L27" s="8" t="s">
        <v>81</v>
      </c>
      <c r="M27" s="8" t="s">
        <v>82</v>
      </c>
      <c r="N27" s="9" t="s">
        <v>83</v>
      </c>
      <c r="O27">
        <f>1+7+22</f>
        <v>30</v>
      </c>
    </row>
    <row r="28" spans="1:16" x14ac:dyDescent="0.2">
      <c r="K28" s="7" t="s">
        <v>120</v>
      </c>
      <c r="L28" s="27">
        <f>1/30</f>
        <v>3.3333333333333333E-2</v>
      </c>
      <c r="M28" s="27">
        <f>7/30</f>
        <v>0.23333333333333334</v>
      </c>
      <c r="N28" s="41">
        <f>22/30</f>
        <v>0.73333333333333328</v>
      </c>
    </row>
    <row r="29" spans="1:16" x14ac:dyDescent="0.2">
      <c r="A29" t="s">
        <v>45</v>
      </c>
      <c r="K29" s="7" t="s">
        <v>84</v>
      </c>
      <c r="L29" s="8">
        <f>60000*L28</f>
        <v>2000</v>
      </c>
      <c r="M29" s="8">
        <f>60000*M28</f>
        <v>14000</v>
      </c>
      <c r="N29" s="9">
        <f>60000*N28</f>
        <v>44000</v>
      </c>
      <c r="O29">
        <f>N29+M29+L29</f>
        <v>60000</v>
      </c>
    </row>
    <row r="30" spans="1:16" x14ac:dyDescent="0.2">
      <c r="A30" t="s">
        <v>46</v>
      </c>
      <c r="C30" s="1">
        <v>270000</v>
      </c>
      <c r="J30" t="s">
        <v>98</v>
      </c>
      <c r="K30" s="14" t="s">
        <v>85</v>
      </c>
      <c r="L30" s="21">
        <f>L29/7500</f>
        <v>0.26666666666666666</v>
      </c>
      <c r="M30" s="8">
        <f>M29/12500</f>
        <v>1.1200000000000001</v>
      </c>
      <c r="N30" s="9">
        <f>N29/4000</f>
        <v>11</v>
      </c>
    </row>
    <row r="31" spans="1:16" x14ac:dyDescent="0.2">
      <c r="K31" s="7"/>
      <c r="L31" s="8"/>
      <c r="M31" s="8"/>
      <c r="N31" s="9"/>
    </row>
    <row r="32" spans="1:16" x14ac:dyDescent="0.2">
      <c r="A32" t="s">
        <v>50</v>
      </c>
      <c r="B32" t="s">
        <v>51</v>
      </c>
      <c r="K32" s="7" t="s">
        <v>41</v>
      </c>
      <c r="L32" s="17">
        <v>0.2</v>
      </c>
      <c r="M32" s="17">
        <v>0.3</v>
      </c>
      <c r="N32" s="18">
        <v>0.5</v>
      </c>
      <c r="O32" s="1">
        <v>100000</v>
      </c>
    </row>
    <row r="33" spans="1:16" ht="13.5" thickBot="1" x14ac:dyDescent="0.25">
      <c r="B33" t="s">
        <v>2</v>
      </c>
      <c r="C33" t="s">
        <v>3</v>
      </c>
      <c r="D33" t="s">
        <v>4</v>
      </c>
      <c r="K33" s="7" t="s">
        <v>86</v>
      </c>
      <c r="L33" s="8">
        <f>0.2*100000</f>
        <v>20000</v>
      </c>
      <c r="M33" s="8">
        <f>0.3*100000</f>
        <v>30000</v>
      </c>
      <c r="N33" s="9">
        <f>0.5*100000</f>
        <v>50000</v>
      </c>
    </row>
    <row r="34" spans="1:16" x14ac:dyDescent="0.2">
      <c r="A34" s="4" t="s">
        <v>13</v>
      </c>
      <c r="B34" s="5">
        <v>16</v>
      </c>
      <c r="C34" s="5">
        <v>20</v>
      </c>
      <c r="D34" s="6">
        <v>22</v>
      </c>
      <c r="J34" t="s">
        <v>99</v>
      </c>
      <c r="K34" s="14" t="s">
        <v>90</v>
      </c>
      <c r="L34" s="42">
        <f>L33/7500</f>
        <v>2.6666666666666665</v>
      </c>
      <c r="M34" s="19">
        <f>M33/12500</f>
        <v>2.4</v>
      </c>
      <c r="N34" s="20">
        <f>N33/4000</f>
        <v>12.5</v>
      </c>
    </row>
    <row r="35" spans="1:16" x14ac:dyDescent="0.2">
      <c r="A35" s="7" t="s">
        <v>52</v>
      </c>
      <c r="B35" s="8">
        <v>4</v>
      </c>
      <c r="C35" s="8">
        <v>8</v>
      </c>
      <c r="D35" s="9">
        <v>6.4</v>
      </c>
      <c r="K35" s="7"/>
      <c r="L35" s="8"/>
      <c r="M35" s="8"/>
      <c r="N35" s="9"/>
    </row>
    <row r="36" spans="1:16" x14ac:dyDescent="0.2">
      <c r="A36" s="7" t="s">
        <v>53</v>
      </c>
      <c r="B36" s="8">
        <f>4.39*0.25*16</f>
        <v>17.559999999999999</v>
      </c>
      <c r="C36" s="8">
        <f>4.39*0.5*16</f>
        <v>35.119999999999997</v>
      </c>
      <c r="D36" s="9">
        <f>4.39*0.4*16</f>
        <v>28.096</v>
      </c>
      <c r="K36" s="7" t="s">
        <v>87</v>
      </c>
      <c r="L36" s="8">
        <v>3750</v>
      </c>
      <c r="M36" s="8">
        <v>6250</v>
      </c>
      <c r="N36" s="9">
        <v>800</v>
      </c>
      <c r="O36">
        <v>10800</v>
      </c>
      <c r="P36" s="1">
        <v>30000</v>
      </c>
    </row>
    <row r="37" spans="1:16" ht="13.5" thickBot="1" x14ac:dyDescent="0.25">
      <c r="A37" s="10" t="s">
        <v>54</v>
      </c>
      <c r="B37" s="11">
        <f>SUM(B34:B36)</f>
        <v>37.56</v>
      </c>
      <c r="C37" s="11">
        <f>SUM(C34:C36)</f>
        <v>63.12</v>
      </c>
      <c r="D37" s="12">
        <f>SUM(D34:D36)</f>
        <v>56.495999999999995</v>
      </c>
      <c r="K37" s="7" t="s">
        <v>119</v>
      </c>
      <c r="L37" s="27">
        <f>3750/10800</f>
        <v>0.34722222222222221</v>
      </c>
      <c r="M37" s="27">
        <f>6250/10800</f>
        <v>0.57870370370370372</v>
      </c>
      <c r="N37" s="41">
        <f>800/10800</f>
        <v>7.407407407407407E-2</v>
      </c>
    </row>
    <row r="38" spans="1:16" x14ac:dyDescent="0.2">
      <c r="K38" s="7" t="s">
        <v>89</v>
      </c>
      <c r="L38" s="21">
        <f>30000*L37</f>
        <v>10416.666666666666</v>
      </c>
      <c r="M38" s="21">
        <f>30000*M37</f>
        <v>17361.111111111113</v>
      </c>
      <c r="N38" s="22">
        <f>30000*N37</f>
        <v>2222.2222222222222</v>
      </c>
    </row>
    <row r="39" spans="1:16" x14ac:dyDescent="0.2">
      <c r="J39" t="s">
        <v>100</v>
      </c>
      <c r="K39" s="14" t="s">
        <v>88</v>
      </c>
      <c r="L39" s="42">
        <f>L38/7500</f>
        <v>1.3888888888888888</v>
      </c>
      <c r="M39" s="42">
        <f>M38/12500</f>
        <v>1.3888888888888891</v>
      </c>
      <c r="N39" s="43">
        <f>N38/4000</f>
        <v>0.55555555555555558</v>
      </c>
    </row>
    <row r="40" spans="1:16" x14ac:dyDescent="0.2">
      <c r="K40" s="7"/>
      <c r="L40" s="8"/>
      <c r="M40" s="8"/>
      <c r="N40" s="9"/>
    </row>
    <row r="41" spans="1:16" x14ac:dyDescent="0.2">
      <c r="J41" t="s">
        <v>103</v>
      </c>
      <c r="K41" s="14" t="s">
        <v>102</v>
      </c>
      <c r="L41" s="8">
        <f>(P41*L37)/7500</f>
        <v>12.5</v>
      </c>
      <c r="M41" s="8">
        <f>(P41*M37)/12500</f>
        <v>12.5</v>
      </c>
      <c r="N41" s="9">
        <f>(P41*N37)/4000</f>
        <v>5</v>
      </c>
      <c r="P41">
        <v>270000</v>
      </c>
    </row>
    <row r="42" spans="1:16" x14ac:dyDescent="0.2">
      <c r="K42" s="7"/>
      <c r="L42" s="8"/>
      <c r="M42" s="8"/>
      <c r="N42" s="9"/>
    </row>
    <row r="43" spans="1:16" ht="13.5" thickBot="1" x14ac:dyDescent="0.25">
      <c r="K43" s="10" t="s">
        <v>101</v>
      </c>
      <c r="L43" s="44">
        <f>L14+L23+L25+L26+L30+L34+L39+L41</f>
        <v>37.748849612403106</v>
      </c>
      <c r="M43" s="44">
        <f>M14+M23+M25+M26+M30+M34+M39+M41</f>
        <v>48.870941602067177</v>
      </c>
      <c r="N43" s="45">
        <f>N14+N23+N25+N26+N30+N34+N39+N41</f>
        <v>100.57121447028425</v>
      </c>
    </row>
    <row r="45" spans="1:16" x14ac:dyDescent="0.2">
      <c r="K45" t="s">
        <v>104</v>
      </c>
      <c r="L45" s="23">
        <f>L43-L14-L25</f>
        <v>17.748849612403106</v>
      </c>
      <c r="M45" s="23">
        <f>M43-M14-M25</f>
        <v>20.870941602067177</v>
      </c>
      <c r="N45" s="23">
        <f>N43-N14-N25</f>
        <v>72.171214470284241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15" zoomScaleNormal="115" workbookViewId="0"/>
  </sheetViews>
  <sheetFormatPr defaultRowHeight="12.75" x14ac:dyDescent="0.2"/>
  <cols>
    <col min="1" max="1" width="19.7109375" style="8" bestFit="1" customWidth="1"/>
    <col min="2" max="2" width="9.5703125" style="8" bestFit="1" customWidth="1"/>
    <col min="3" max="3" width="10.5703125" style="8" bestFit="1" customWidth="1"/>
    <col min="4" max="4" width="15.140625" style="8" bestFit="1" customWidth="1"/>
    <col min="5" max="6" width="9.5703125" style="8" bestFit="1" customWidth="1"/>
    <col min="7" max="7" width="15.140625" style="8" bestFit="1" customWidth="1"/>
    <col min="8" max="9" width="9.5703125" style="8" bestFit="1" customWidth="1"/>
    <col min="10" max="10" width="15.140625" style="8" bestFit="1" customWidth="1"/>
    <col min="11" max="16384" width="9.140625" style="8"/>
  </cols>
  <sheetData>
    <row r="1" spans="1:10" x14ac:dyDescent="0.2">
      <c r="B1" s="46" t="s">
        <v>2</v>
      </c>
      <c r="C1" s="47"/>
      <c r="D1" s="48"/>
      <c r="E1" s="46" t="s">
        <v>3</v>
      </c>
      <c r="F1" s="47"/>
      <c r="G1" s="48"/>
      <c r="H1" s="46" t="s">
        <v>4</v>
      </c>
      <c r="I1" s="47"/>
      <c r="J1" s="48"/>
    </row>
    <row r="2" spans="1:10" x14ac:dyDescent="0.2">
      <c r="B2" s="28" t="s">
        <v>105</v>
      </c>
      <c r="C2" s="25" t="s">
        <v>55</v>
      </c>
      <c r="D2" s="29" t="s">
        <v>106</v>
      </c>
      <c r="E2" s="28" t="s">
        <v>105</v>
      </c>
      <c r="F2" s="25" t="s">
        <v>55</v>
      </c>
      <c r="G2" s="29" t="s">
        <v>106</v>
      </c>
      <c r="H2" s="28" t="s">
        <v>105</v>
      </c>
      <c r="I2" s="25" t="s">
        <v>55</v>
      </c>
      <c r="J2" s="29" t="s">
        <v>106</v>
      </c>
    </row>
    <row r="3" spans="1:10" x14ac:dyDescent="0.2">
      <c r="A3" s="8" t="s">
        <v>108</v>
      </c>
      <c r="B3" s="30">
        <v>7500</v>
      </c>
      <c r="C3" s="26">
        <v>7500</v>
      </c>
      <c r="D3" s="31">
        <v>7500</v>
      </c>
      <c r="E3" s="30">
        <v>12500</v>
      </c>
      <c r="F3" s="26">
        <v>12500</v>
      </c>
      <c r="G3" s="31">
        <v>12500</v>
      </c>
      <c r="H3" s="30">
        <v>4000</v>
      </c>
      <c r="I3" s="26">
        <v>4000</v>
      </c>
      <c r="J3" s="31">
        <v>4000</v>
      </c>
    </row>
    <row r="4" spans="1:10" x14ac:dyDescent="0.2">
      <c r="A4" s="8" t="s">
        <v>107</v>
      </c>
      <c r="B4" s="30">
        <v>57.78</v>
      </c>
      <c r="C4" s="26">
        <v>57.78</v>
      </c>
      <c r="D4" s="31">
        <v>57.78</v>
      </c>
      <c r="E4" s="30">
        <v>81.260000000000005</v>
      </c>
      <c r="F4" s="26">
        <v>81.260000000000005</v>
      </c>
      <c r="G4" s="31">
        <v>81.260000000000005</v>
      </c>
      <c r="H4" s="30">
        <v>97.07</v>
      </c>
      <c r="I4" s="26">
        <v>97.07</v>
      </c>
      <c r="J4" s="31">
        <v>97.07</v>
      </c>
    </row>
    <row r="5" spans="1:10" x14ac:dyDescent="0.2">
      <c r="A5" s="8" t="s">
        <v>109</v>
      </c>
      <c r="B5" s="30">
        <f t="shared" ref="B5:J5" si="0">B3*B4</f>
        <v>433350</v>
      </c>
      <c r="C5" s="26">
        <f t="shared" si="0"/>
        <v>433350</v>
      </c>
      <c r="D5" s="31">
        <f t="shared" si="0"/>
        <v>433350</v>
      </c>
      <c r="E5" s="30">
        <f t="shared" si="0"/>
        <v>1015750.0000000001</v>
      </c>
      <c r="F5" s="26">
        <f t="shared" si="0"/>
        <v>1015750.0000000001</v>
      </c>
      <c r="G5" s="31">
        <f t="shared" si="0"/>
        <v>1015750.0000000001</v>
      </c>
      <c r="H5" s="30">
        <f t="shared" si="0"/>
        <v>388280</v>
      </c>
      <c r="I5" s="26">
        <f t="shared" si="0"/>
        <v>388280</v>
      </c>
      <c r="J5" s="31">
        <f t="shared" si="0"/>
        <v>388280</v>
      </c>
    </row>
    <row r="6" spans="1:10" x14ac:dyDescent="0.2">
      <c r="B6" s="30"/>
      <c r="C6" s="26"/>
      <c r="D6" s="31"/>
      <c r="E6" s="30"/>
      <c r="F6" s="26"/>
      <c r="G6" s="31"/>
      <c r="H6" s="30"/>
      <c r="I6" s="26"/>
      <c r="J6" s="31"/>
    </row>
    <row r="7" spans="1:10" x14ac:dyDescent="0.2">
      <c r="A7" s="8" t="s">
        <v>113</v>
      </c>
      <c r="B7" s="32">
        <v>20</v>
      </c>
      <c r="C7" s="21">
        <v>20</v>
      </c>
      <c r="D7" s="33">
        <v>20</v>
      </c>
      <c r="E7" s="32">
        <v>28</v>
      </c>
      <c r="F7" s="21">
        <v>28</v>
      </c>
      <c r="G7" s="33">
        <v>28</v>
      </c>
      <c r="H7" s="32">
        <v>28.4</v>
      </c>
      <c r="I7" s="21">
        <v>28.4</v>
      </c>
      <c r="J7" s="33">
        <v>28.4</v>
      </c>
    </row>
    <row r="8" spans="1:10" x14ac:dyDescent="0.2">
      <c r="A8" s="8" t="s">
        <v>114</v>
      </c>
      <c r="B8" s="32">
        <v>17.559999999999999</v>
      </c>
      <c r="C8" s="21">
        <v>28.998952482613603</v>
      </c>
      <c r="D8" s="33">
        <v>17.748849612403106</v>
      </c>
      <c r="E8" s="32">
        <v>35.119999999999997</v>
      </c>
      <c r="F8" s="21">
        <v>30.954483195859602</v>
      </c>
      <c r="G8" s="33">
        <v>20.870941602067177</v>
      </c>
      <c r="H8" s="32">
        <v>28.096</v>
      </c>
      <c r="I8" s="21">
        <v>19.5662041080382</v>
      </c>
      <c r="J8" s="33">
        <v>72.171214470284241</v>
      </c>
    </row>
    <row r="9" spans="1:10" x14ac:dyDescent="0.2">
      <c r="A9" s="8" t="s">
        <v>115</v>
      </c>
      <c r="B9" s="32">
        <f>B8+B7</f>
        <v>37.56</v>
      </c>
      <c r="C9" s="21">
        <f t="shared" ref="C9:J9" si="1">C8+C7</f>
        <v>48.998952482613603</v>
      </c>
      <c r="D9" s="33">
        <f t="shared" si="1"/>
        <v>37.748849612403106</v>
      </c>
      <c r="E9" s="32">
        <f t="shared" si="1"/>
        <v>63.12</v>
      </c>
      <c r="F9" s="21">
        <f t="shared" si="1"/>
        <v>58.954483195859602</v>
      </c>
      <c r="G9" s="33">
        <f t="shared" si="1"/>
        <v>48.870941602067177</v>
      </c>
      <c r="H9" s="32">
        <f t="shared" si="1"/>
        <v>56.495999999999995</v>
      </c>
      <c r="I9" s="21">
        <f t="shared" si="1"/>
        <v>47.966204108038198</v>
      </c>
      <c r="J9" s="33">
        <f t="shared" si="1"/>
        <v>100.57121447028425</v>
      </c>
    </row>
    <row r="10" spans="1:10" x14ac:dyDescent="0.2">
      <c r="B10" s="34"/>
      <c r="D10" s="35"/>
      <c r="E10" s="34"/>
      <c r="G10" s="35"/>
      <c r="H10" s="34"/>
      <c r="J10" s="35"/>
    </row>
    <row r="11" spans="1:10" x14ac:dyDescent="0.2">
      <c r="A11" s="24" t="s">
        <v>112</v>
      </c>
      <c r="B11" s="36">
        <f>(B4-B9)/B4</f>
        <v>0.34994807892004148</v>
      </c>
      <c r="C11" s="27">
        <f t="shared" ref="C11:I11" si="2">(C4-C9)/C4</f>
        <v>0.15197382342309446</v>
      </c>
      <c r="D11" s="37">
        <f t="shared" si="2"/>
        <v>0.34667965364480607</v>
      </c>
      <c r="E11" s="36">
        <f t="shared" si="2"/>
        <v>0.22323406349987701</v>
      </c>
      <c r="F11" s="27">
        <f t="shared" si="2"/>
        <v>0.27449565350898847</v>
      </c>
      <c r="G11" s="37">
        <f t="shared" si="2"/>
        <v>0.39858550821970007</v>
      </c>
      <c r="H11" s="36">
        <f t="shared" si="2"/>
        <v>0.41798701967652213</v>
      </c>
      <c r="I11" s="27">
        <f t="shared" si="2"/>
        <v>0.50585964656394145</v>
      </c>
      <c r="J11" s="37">
        <f>(J4-J9)/J4</f>
        <v>-3.6068965388732395E-2</v>
      </c>
    </row>
    <row r="12" spans="1:10" x14ac:dyDescent="0.2">
      <c r="B12" s="34"/>
      <c r="D12" s="35"/>
      <c r="E12" s="34"/>
      <c r="G12" s="35"/>
      <c r="H12" s="34"/>
      <c r="J12" s="35"/>
    </row>
    <row r="13" spans="1:10" x14ac:dyDescent="0.2">
      <c r="A13" s="8" t="s">
        <v>110</v>
      </c>
      <c r="B13" s="38">
        <f t="shared" ref="B13:J13" si="3">B3*B9</f>
        <v>281700</v>
      </c>
      <c r="C13" s="39">
        <f t="shared" si="3"/>
        <v>367492.14361960202</v>
      </c>
      <c r="D13" s="40">
        <f t="shared" si="3"/>
        <v>283116.37209302327</v>
      </c>
      <c r="E13" s="38">
        <f t="shared" si="3"/>
        <v>789000</v>
      </c>
      <c r="F13" s="39">
        <f t="shared" si="3"/>
        <v>736931.03994824504</v>
      </c>
      <c r="G13" s="40">
        <f t="shared" si="3"/>
        <v>610886.77002583968</v>
      </c>
      <c r="H13" s="38">
        <f t="shared" si="3"/>
        <v>225983.99999999997</v>
      </c>
      <c r="I13" s="39">
        <f t="shared" si="3"/>
        <v>191864.81643215279</v>
      </c>
      <c r="J13" s="40">
        <f t="shared" si="3"/>
        <v>402284.857881137</v>
      </c>
    </row>
    <row r="15" spans="1:10" x14ac:dyDescent="0.2">
      <c r="B15" s="27"/>
      <c r="C15" s="27"/>
      <c r="D15" s="27"/>
      <c r="E15" s="27"/>
      <c r="F15" s="27"/>
      <c r="G15" s="27"/>
      <c r="H15" s="27"/>
      <c r="I15" s="27"/>
      <c r="J15" s="27"/>
    </row>
    <row r="16" spans="1:10" x14ac:dyDescent="0.2">
      <c r="B16" s="21"/>
    </row>
    <row r="17" spans="1:4" x14ac:dyDescent="0.2">
      <c r="B17" s="8" t="s">
        <v>116</v>
      </c>
      <c r="C17" s="8" t="s">
        <v>110</v>
      </c>
      <c r="D17" s="8" t="s">
        <v>111</v>
      </c>
    </row>
    <row r="18" spans="1:4" x14ac:dyDescent="0.2">
      <c r="A18" s="8" t="s">
        <v>105</v>
      </c>
      <c r="B18" s="8">
        <f>B5+E5+H5</f>
        <v>1837380</v>
      </c>
      <c r="C18" s="21">
        <f>B13+E13+H13</f>
        <v>1296684</v>
      </c>
      <c r="D18" s="21">
        <f>B18-C18</f>
        <v>540696</v>
      </c>
    </row>
    <row r="19" spans="1:4" x14ac:dyDescent="0.2">
      <c r="A19" s="8" t="s">
        <v>55</v>
      </c>
      <c r="B19" s="8">
        <v>1837380</v>
      </c>
      <c r="C19" s="21">
        <f>C13+F13+I13</f>
        <v>1296288</v>
      </c>
      <c r="D19" s="21">
        <f t="shared" ref="D19:D20" si="4">B19-C19</f>
        <v>541092</v>
      </c>
    </row>
    <row r="20" spans="1:4" x14ac:dyDescent="0.2">
      <c r="A20" s="8" t="s">
        <v>106</v>
      </c>
      <c r="B20" s="8">
        <v>1837380</v>
      </c>
      <c r="C20" s="21">
        <f>D13+G13+J13</f>
        <v>1296288</v>
      </c>
      <c r="D20" s="21">
        <f t="shared" si="4"/>
        <v>541092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Costing Computation</vt:lpstr>
      <vt:lpstr>Comparisions</vt:lpstr>
    </vt:vector>
  </TitlesOfParts>
  <Company>Novartis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Rathi, Vivek</dc:creator>
  <cp:lastModifiedBy>acer</cp:lastModifiedBy>
  <dcterms:created xsi:type="dcterms:W3CDTF">2018-02-18T16:05:17Z</dcterms:created>
  <dcterms:modified xsi:type="dcterms:W3CDTF">2019-04-28T14:41:53Z</dcterms:modified>
</cp:coreProperties>
</file>