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m\Desktop\"/>
    </mc:Choice>
  </mc:AlternateContent>
  <bookViews>
    <workbookView xWindow="0" yWindow="0" windowWidth="19200" windowHeight="7090" tabRatio="667"/>
  </bookViews>
  <sheets>
    <sheet name="Ops Statement Unlevered" sheetId="6" r:id="rId1"/>
    <sheet name="Ops Statement Levered" sheetId="2" r:id="rId2"/>
    <sheet name="Financing" sheetId="5" r:id="rId3"/>
    <sheet name="Variance" sheetId="1" r:id="rId4"/>
    <sheet name="Balance Sheet" sheetId="3" r:id="rId5"/>
    <sheet name="Comps" sheetId="4" r:id="rId6"/>
  </sheets>
  <calcPr calcId="171027"/>
  <fileRecoveryPr repairLoad="1"/>
</workbook>
</file>

<file path=xl/calcChain.xml><?xml version="1.0" encoding="utf-8"?>
<calcChain xmlns="http://schemas.openxmlformats.org/spreadsheetml/2006/main">
  <c r="C28" i="6" l="1"/>
  <c r="C30" i="6" s="1"/>
  <c r="C29" i="6"/>
  <c r="C22" i="6"/>
  <c r="A18" i="6"/>
  <c r="C7" i="6"/>
  <c r="C10" i="6" s="1"/>
  <c r="C14" i="6" s="1"/>
  <c r="C11" i="5"/>
  <c r="C10" i="5"/>
  <c r="C9" i="5"/>
  <c r="C8" i="5"/>
  <c r="C16" i="5" s="1"/>
  <c r="D12" i="4"/>
  <c r="G10" i="4"/>
  <c r="F10" i="4"/>
  <c r="G9" i="4"/>
  <c r="F9" i="4"/>
  <c r="G8" i="4"/>
  <c r="F8" i="4"/>
  <c r="G7" i="4"/>
  <c r="F7" i="4"/>
  <c r="C6" i="3"/>
  <c r="C10" i="3" s="1"/>
  <c r="C11" i="3" s="1"/>
  <c r="A18" i="2"/>
  <c r="C7" i="2"/>
  <c r="C10" i="2" s="1"/>
  <c r="E12" i="1"/>
  <c r="F12" i="1" s="1"/>
  <c r="E11" i="1"/>
  <c r="F11" i="1" s="1"/>
  <c r="E8" i="1"/>
  <c r="F8" i="1" s="1"/>
  <c r="D6" i="1"/>
  <c r="D9" i="1" s="1"/>
  <c r="D13" i="1" s="1"/>
  <c r="C6" i="1"/>
  <c r="C9" i="1" s="1"/>
  <c r="E5" i="1"/>
  <c r="F5" i="1" s="1"/>
  <c r="E4" i="1"/>
  <c r="F4" i="1" s="1"/>
  <c r="E3" i="1"/>
  <c r="F3" i="1" s="1"/>
  <c r="C17" i="6" l="1"/>
  <c r="C18" i="6" s="1"/>
  <c r="C32" i="6" s="1"/>
  <c r="C3" i="5" s="1"/>
  <c r="C17" i="5" s="1"/>
  <c r="E17" i="5" s="1"/>
  <c r="C16" i="6"/>
  <c r="E16" i="5"/>
  <c r="C13" i="1"/>
  <c r="E13" i="1" s="1"/>
  <c r="F13" i="1" s="1"/>
  <c r="E9" i="1"/>
  <c r="F9" i="1" s="1"/>
  <c r="C12" i="5"/>
  <c r="E6" i="1"/>
  <c r="F6" i="1" s="1"/>
  <c r="E18" i="5" l="1"/>
  <c r="C11" i="2" s="1"/>
  <c r="C14" i="2" s="1"/>
  <c r="C16" i="2" s="1"/>
  <c r="C17" i="2" l="1"/>
  <c r="C18" i="2" s="1"/>
</calcChain>
</file>

<file path=xl/sharedStrings.xml><?xml version="1.0" encoding="utf-8"?>
<sst xmlns="http://schemas.openxmlformats.org/spreadsheetml/2006/main" count="98" uniqueCount="78">
  <si>
    <t>Proforma</t>
  </si>
  <si>
    <t>Net Sales</t>
  </si>
  <si>
    <t>Variance</t>
  </si>
  <si>
    <t>% Diff to Prior Yr</t>
  </si>
  <si>
    <t>Accounts Receivable</t>
  </si>
  <si>
    <t>Inventory</t>
  </si>
  <si>
    <t>Prepaid Expenses</t>
  </si>
  <si>
    <t>Equipment/Building/Land @ Market Value</t>
  </si>
  <si>
    <t>Gross Profit</t>
  </si>
  <si>
    <t>Ops &amp; Overhead</t>
  </si>
  <si>
    <t>Profit before salary/inv/tax</t>
  </si>
  <si>
    <t>Total Assets</t>
  </si>
  <si>
    <t>Liabilities - Accounts Payable</t>
  </si>
  <si>
    <t>Equity (Contributed Capital)</t>
  </si>
  <si>
    <t>Total Liabilities + Equity</t>
  </si>
  <si>
    <t xml:space="preserve">Conclusion: still not close to multiplier derived value (after adjustments). Therefore irellevent in valuation process. </t>
  </si>
  <si>
    <t>Inv. Income</t>
  </si>
  <si>
    <t>Profit before Tax</t>
  </si>
  <si>
    <t>Gross profit suffers more than Sales. Some sales costs must be fixed</t>
  </si>
  <si>
    <t>Interest Expense</t>
  </si>
  <si>
    <t xml:space="preserve">Overhead increased even though less business? </t>
  </si>
  <si>
    <t>Mgt Comp</t>
  </si>
  <si>
    <t>Profit before Income Tax</t>
  </si>
  <si>
    <t>NJ Sales Tax - 10.00%</t>
  </si>
  <si>
    <t>Fed'l Income Tax Rate - 34.87%</t>
  </si>
  <si>
    <t>Revenue</t>
  </si>
  <si>
    <t>Earnings/Share</t>
  </si>
  <si>
    <t>Book Value</t>
  </si>
  <si>
    <t>Stock Price</t>
  </si>
  <si>
    <t>P/E Ratio</t>
  </si>
  <si>
    <t>Earnings/BV</t>
  </si>
  <si>
    <t>Plymounth</t>
  </si>
  <si>
    <t>In-line with sales decrease</t>
  </si>
  <si>
    <t>Office Salary</t>
  </si>
  <si>
    <t>Fixed costs. Didn't fall in-line with sales</t>
  </si>
  <si>
    <t>NJ Sales Tax</t>
  </si>
  <si>
    <t>Decrease in-line with gross profit decrease</t>
  </si>
  <si>
    <t>Profit before Fed Tax</t>
  </si>
  <si>
    <t>Major decrease due to weak sales</t>
  </si>
  <si>
    <t>Kleer Vu</t>
  </si>
  <si>
    <t>Liqui Box</t>
  </si>
  <si>
    <t>Gar</t>
  </si>
  <si>
    <t>Mgt Comp replaces officer salary previously taken by Elson</t>
  </si>
  <si>
    <t>PTI</t>
  </si>
  <si>
    <t>Purchase Price</t>
  </si>
  <si>
    <t>Equity Partner 1</t>
  </si>
  <si>
    <t>Equity Partner 2</t>
  </si>
  <si>
    <t>85% Receivables</t>
  </si>
  <si>
    <t>60% Inventory</t>
  </si>
  <si>
    <t>Total Sources of Funds</t>
  </si>
  <si>
    <t>Conventional Bank Loan</t>
  </si>
  <si>
    <t>Interest Rate</t>
  </si>
  <si>
    <t>33% Plant &amp; Equipment*</t>
  </si>
  <si>
    <t>90% Land*</t>
  </si>
  <si>
    <t>Loan Amount</t>
  </si>
  <si>
    <t>Conventional Financing**</t>
  </si>
  <si>
    <t>Mezzanine Financing**</t>
  </si>
  <si>
    <t>** Assume interest only loan</t>
  </si>
  <si>
    <t>*Assume $92k = 25% plant &amp; equipment + 75% land</t>
  </si>
  <si>
    <t>Annual Interest Expense</t>
  </si>
  <si>
    <t>Facility  Type</t>
  </si>
  <si>
    <t>Annual Debt Expense</t>
  </si>
  <si>
    <t xml:space="preserve">Price Multiple </t>
  </si>
  <si>
    <t>4.5x</t>
  </si>
  <si>
    <t>Company Value</t>
  </si>
  <si>
    <t>Adjustments to Value</t>
  </si>
  <si>
    <t>Less: Illiquidity</t>
  </si>
  <si>
    <t>Add: Control Premium</t>
  </si>
  <si>
    <t>Less: Contingent Liabilities</t>
  </si>
  <si>
    <t>Unreasonable Comp</t>
  </si>
  <si>
    <t>Accumulated earnings tax</t>
  </si>
  <si>
    <t>Adjusted Company Value</t>
  </si>
  <si>
    <t>Total Adjustments to Value</t>
  </si>
  <si>
    <t>Contingent Liabilities</t>
  </si>
  <si>
    <t>Income Statement &amp; Valuation</t>
  </si>
  <si>
    <t>Less: Relationship Loss</t>
  </si>
  <si>
    <t>???</t>
  </si>
  <si>
    <t>Less: Cash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</si>
</sst>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#,##0;\(#,##0\)"/>
    <numFmt numFmtId="165" formatCode="#,##0.00;\(#,##0.00\)"/>
    <numFmt numFmtId="166" formatCode="0.000"/>
    <numFmt numFmtId="168" formatCode="_(&quot;$&quot;* #,##0_);_(&quot;$&quot;* \(#,##0\);_(&quot;$&quot;* &quot;-&quot;??_);_(@_)"/>
  </numFmts>
  <fonts count="7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" fillId="0" borderId="0" xfId="0" applyFont="1"/>
    <xf numFmtId="10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left"/>
    </xf>
    <xf numFmtId="164" fontId="2" fillId="0" borderId="0" xfId="0" applyNumberFormat="1" applyFont="1" applyAlignment="1"/>
    <xf numFmtId="164" fontId="2" fillId="0" borderId="0" xfId="0" applyNumberFormat="1" applyFont="1"/>
    <xf numFmtId="164" fontId="2" fillId="0" borderId="1" xfId="0" applyNumberFormat="1" applyFont="1" applyBorder="1"/>
    <xf numFmtId="10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0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164" fontId="5" fillId="0" borderId="0" xfId="0" applyNumberFormat="1" applyFont="1" applyAlignment="1"/>
    <xf numFmtId="0" fontId="6" fillId="0" borderId="0" xfId="0" applyFont="1" applyAlignment="1"/>
    <xf numFmtId="44" fontId="0" fillId="0" borderId="0" xfId="1" applyFont="1" applyAlignment="1"/>
    <xf numFmtId="168" fontId="2" fillId="0" borderId="1" xfId="1" applyNumberFormat="1" applyFont="1" applyBorder="1" applyAlignment="1">
      <alignment horizontal="center"/>
    </xf>
    <xf numFmtId="168" fontId="2" fillId="0" borderId="0" xfId="1" applyNumberFormat="1" applyFont="1" applyAlignment="1">
      <alignment horizontal="center"/>
    </xf>
    <xf numFmtId="168" fontId="0" fillId="0" borderId="0" xfId="1" applyNumberFormat="1" applyFont="1" applyAlignment="1"/>
    <xf numFmtId="0" fontId="5" fillId="0" borderId="0" xfId="0" applyFont="1" applyAlignment="1">
      <alignment horizontal="center"/>
    </xf>
    <xf numFmtId="168" fontId="4" fillId="0" borderId="0" xfId="1" applyNumberFormat="1" applyFont="1" applyAlignment="1">
      <alignment horizontal="center"/>
    </xf>
    <xf numFmtId="44" fontId="6" fillId="0" borderId="0" xfId="1" applyFont="1" applyAlignment="1"/>
    <xf numFmtId="168" fontId="0" fillId="0" borderId="0" xfId="0" applyNumberFormat="1" applyFont="1" applyAlignment="1"/>
    <xf numFmtId="168" fontId="0" fillId="0" borderId="2" xfId="1" applyNumberFormat="1" applyFont="1" applyBorder="1" applyAlignment="1"/>
    <xf numFmtId="168" fontId="4" fillId="0" borderId="0" xfId="0" applyNumberFormat="1" applyFont="1" applyAlignment="1"/>
    <xf numFmtId="0" fontId="6" fillId="0" borderId="0" xfId="0" applyFont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0" borderId="0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abSelected="1" topLeftCell="A22" workbookViewId="0">
      <selection activeCell="C37" sqref="C37"/>
    </sheetView>
  </sheetViews>
  <sheetFormatPr defaultColWidth="14.453125" defaultRowHeight="15.75" customHeight="1" x14ac:dyDescent="0.25"/>
  <cols>
    <col min="2" max="2" width="28.81640625" customWidth="1"/>
    <col min="3" max="3" width="12.7265625" customWidth="1"/>
    <col min="5" max="5" width="2.81640625" customWidth="1"/>
    <col min="6" max="6" width="2.453125" customWidth="1"/>
  </cols>
  <sheetData>
    <row r="2" spans="1:3" ht="15.75" customHeight="1" x14ac:dyDescent="0.3">
      <c r="B2" s="32" t="s">
        <v>74</v>
      </c>
    </row>
    <row r="3" spans="1:3" ht="15.75" customHeight="1" x14ac:dyDescent="0.3">
      <c r="C3" s="41"/>
    </row>
    <row r="4" spans="1:3" ht="15.75" customHeight="1" x14ac:dyDescent="0.3">
      <c r="B4" s="2" t="s">
        <v>1</v>
      </c>
      <c r="C4" s="38">
        <v>942000</v>
      </c>
    </row>
    <row r="5" spans="1:3" ht="15.75" customHeight="1" x14ac:dyDescent="0.3">
      <c r="B5" s="5" t="s">
        <v>8</v>
      </c>
      <c r="C5" s="39">
        <v>551000</v>
      </c>
    </row>
    <row r="6" spans="1:3" ht="15.75" customHeight="1" x14ac:dyDescent="0.3">
      <c r="B6" s="2" t="s">
        <v>9</v>
      </c>
      <c r="C6" s="38">
        <v>-97000</v>
      </c>
    </row>
    <row r="7" spans="1:3" ht="15.75" customHeight="1" x14ac:dyDescent="0.3">
      <c r="B7" s="5" t="s">
        <v>10</v>
      </c>
      <c r="C7" s="39">
        <f>C5+C6</f>
        <v>454000</v>
      </c>
    </row>
    <row r="8" spans="1:3" ht="15.75" customHeight="1" x14ac:dyDescent="0.3">
      <c r="B8" s="12"/>
      <c r="C8" s="39"/>
    </row>
    <row r="9" spans="1:3" ht="15.75" customHeight="1" x14ac:dyDescent="0.3">
      <c r="B9" s="2" t="s">
        <v>16</v>
      </c>
      <c r="C9" s="38">
        <v>0</v>
      </c>
    </row>
    <row r="10" spans="1:3" ht="15.75" customHeight="1" x14ac:dyDescent="0.3">
      <c r="B10" s="5" t="s">
        <v>17</v>
      </c>
      <c r="C10" s="39">
        <f>C7+C9</f>
        <v>454000</v>
      </c>
    </row>
    <row r="11" spans="1:3" ht="15.75" customHeight="1" x14ac:dyDescent="0.3">
      <c r="B11" s="5" t="s">
        <v>19</v>
      </c>
      <c r="C11" s="39">
        <v>0</v>
      </c>
    </row>
    <row r="12" spans="1:3" ht="15.75" customHeight="1" x14ac:dyDescent="0.3">
      <c r="B12" s="2" t="s">
        <v>21</v>
      </c>
      <c r="C12" s="38">
        <v>-150000</v>
      </c>
    </row>
    <row r="13" spans="1:3" ht="15.75" customHeight="1" x14ac:dyDescent="0.3">
      <c r="B13" s="5"/>
      <c r="C13" s="39"/>
    </row>
    <row r="14" spans="1:3" ht="15.75" customHeight="1" x14ac:dyDescent="0.3">
      <c r="B14" s="5" t="s">
        <v>22</v>
      </c>
      <c r="C14" s="39">
        <f>C10+C12+C11</f>
        <v>304000</v>
      </c>
    </row>
    <row r="15" spans="1:3" ht="15.75" customHeight="1" x14ac:dyDescent="0.25">
      <c r="C15" s="40"/>
    </row>
    <row r="16" spans="1:3" ht="15.75" customHeight="1" x14ac:dyDescent="0.3">
      <c r="A16" s="22">
        <v>0.1</v>
      </c>
      <c r="B16" s="5" t="s">
        <v>23</v>
      </c>
      <c r="C16" s="39">
        <f>A16*-C14</f>
        <v>-30400</v>
      </c>
    </row>
    <row r="17" spans="1:7" ht="15.75" customHeight="1" x14ac:dyDescent="0.3">
      <c r="B17" s="2" t="s">
        <v>24</v>
      </c>
      <c r="C17" s="38">
        <f>A18*-C14</f>
        <v>-105999.99999999999</v>
      </c>
    </row>
    <row r="18" spans="1:7" ht="15.75" customHeight="1" x14ac:dyDescent="0.3">
      <c r="A18" s="22">
        <f>106/304</f>
        <v>0.34868421052631576</v>
      </c>
      <c r="B18" s="5" t="s">
        <v>37</v>
      </c>
      <c r="C18" s="39">
        <f>C14+C16+C17</f>
        <v>167600</v>
      </c>
    </row>
    <row r="20" spans="1:7" ht="15.75" customHeight="1" x14ac:dyDescent="0.3">
      <c r="B20" s="34" t="s">
        <v>62</v>
      </c>
      <c r="C20" s="33" t="s">
        <v>63</v>
      </c>
    </row>
    <row r="21" spans="1:7" ht="15.75" customHeight="1" x14ac:dyDescent="0.25">
      <c r="C21" s="31"/>
    </row>
    <row r="22" spans="1:7" ht="15.75" customHeight="1" x14ac:dyDescent="0.3">
      <c r="B22" s="32" t="s">
        <v>64</v>
      </c>
      <c r="C22" s="42">
        <f>C18*4.5</f>
        <v>754200</v>
      </c>
    </row>
    <row r="24" spans="1:7" ht="15.75" customHeight="1" x14ac:dyDescent="0.25">
      <c r="B24" s="36" t="s">
        <v>65</v>
      </c>
    </row>
    <row r="25" spans="1:7" ht="15.75" customHeight="1" x14ac:dyDescent="0.3">
      <c r="B25" s="47" t="s">
        <v>66</v>
      </c>
      <c r="C25" s="40">
        <v>-150000</v>
      </c>
      <c r="E25" s="32" t="s">
        <v>73</v>
      </c>
    </row>
    <row r="26" spans="1:7" ht="15.75" customHeight="1" x14ac:dyDescent="0.25">
      <c r="B26" s="47" t="s">
        <v>67</v>
      </c>
      <c r="C26" s="40">
        <v>150000</v>
      </c>
      <c r="E26" s="36" t="s">
        <v>69</v>
      </c>
    </row>
    <row r="27" spans="1:7" ht="15.75" customHeight="1" x14ac:dyDescent="0.25">
      <c r="B27" s="47" t="s">
        <v>75</v>
      </c>
      <c r="C27" s="40"/>
      <c r="D27" s="36" t="s">
        <v>76</v>
      </c>
      <c r="F27">
        <v>1</v>
      </c>
      <c r="G27" s="40">
        <v>-86768</v>
      </c>
    </row>
    <row r="28" spans="1:7" ht="15.75" customHeight="1" x14ac:dyDescent="0.25">
      <c r="B28" s="47" t="s">
        <v>77</v>
      </c>
      <c r="C28" s="40">
        <f>-200000</f>
        <v>-200000</v>
      </c>
      <c r="D28" s="36" t="s">
        <v>76</v>
      </c>
      <c r="F28">
        <v>2</v>
      </c>
      <c r="G28" s="40">
        <v>-196280</v>
      </c>
    </row>
    <row r="29" spans="1:7" ht="15.75" customHeight="1" x14ac:dyDescent="0.25">
      <c r="B29" s="48" t="s">
        <v>68</v>
      </c>
      <c r="C29" s="45">
        <f>G28</f>
        <v>-196280</v>
      </c>
      <c r="F29">
        <v>3</v>
      </c>
      <c r="G29" s="40">
        <v>-369773</v>
      </c>
    </row>
    <row r="30" spans="1:7" ht="15.75" customHeight="1" x14ac:dyDescent="0.25">
      <c r="B30" s="49" t="s">
        <v>72</v>
      </c>
      <c r="C30" s="44">
        <f>SUM(C25:C29)</f>
        <v>-396280</v>
      </c>
      <c r="E30" s="43" t="s">
        <v>70</v>
      </c>
      <c r="G30" s="44"/>
    </row>
    <row r="31" spans="1:7" ht="15.75" customHeight="1" x14ac:dyDescent="0.25">
      <c r="F31">
        <v>1</v>
      </c>
      <c r="G31" s="40">
        <v>-20000</v>
      </c>
    </row>
    <row r="32" spans="1:7" ht="15.75" customHeight="1" x14ac:dyDescent="0.3">
      <c r="B32" s="32" t="s">
        <v>71</v>
      </c>
      <c r="C32" s="46">
        <f>C30+C22</f>
        <v>357920</v>
      </c>
      <c r="E32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workbookViewId="0">
      <selection activeCell="D21" sqref="D21"/>
    </sheetView>
  </sheetViews>
  <sheetFormatPr defaultColWidth="14.453125" defaultRowHeight="15.75" customHeight="1" x14ac:dyDescent="0.25"/>
  <cols>
    <col min="2" max="2" width="28.81640625" customWidth="1"/>
  </cols>
  <sheetData>
    <row r="3" spans="1:3" ht="15.75" customHeight="1" x14ac:dyDescent="0.3">
      <c r="C3" s="1" t="s">
        <v>0</v>
      </c>
    </row>
    <row r="4" spans="1:3" ht="15.75" customHeight="1" x14ac:dyDescent="0.3">
      <c r="B4" s="2" t="s">
        <v>1</v>
      </c>
      <c r="C4" s="4">
        <v>942</v>
      </c>
    </row>
    <row r="5" spans="1:3" ht="15.75" customHeight="1" x14ac:dyDescent="0.3">
      <c r="B5" s="5" t="s">
        <v>8</v>
      </c>
      <c r="C5" s="6">
        <v>551</v>
      </c>
    </row>
    <row r="6" spans="1:3" ht="15.75" customHeight="1" x14ac:dyDescent="0.3">
      <c r="B6" s="2" t="s">
        <v>9</v>
      </c>
      <c r="C6" s="4">
        <v>-97</v>
      </c>
    </row>
    <row r="7" spans="1:3" ht="15.75" customHeight="1" x14ac:dyDescent="0.3">
      <c r="B7" s="5" t="s">
        <v>10</v>
      </c>
      <c r="C7" s="10">
        <f>C5+C6</f>
        <v>454</v>
      </c>
    </row>
    <row r="8" spans="1:3" ht="15.75" customHeight="1" x14ac:dyDescent="0.3">
      <c r="B8" s="12"/>
      <c r="C8" s="10"/>
    </row>
    <row r="9" spans="1:3" ht="15.75" customHeight="1" x14ac:dyDescent="0.3">
      <c r="B9" s="2" t="s">
        <v>16</v>
      </c>
      <c r="C9" s="4">
        <v>0</v>
      </c>
    </row>
    <row r="10" spans="1:3" ht="15.75" customHeight="1" x14ac:dyDescent="0.3">
      <c r="B10" s="5" t="s">
        <v>17</v>
      </c>
      <c r="C10" s="10">
        <f>C7+C9</f>
        <v>454</v>
      </c>
    </row>
    <row r="11" spans="1:3" ht="15.75" customHeight="1" x14ac:dyDescent="0.3">
      <c r="B11" s="5" t="s">
        <v>19</v>
      </c>
      <c r="C11" s="14">
        <f>Financing!E18/-1000</f>
        <v>-75.590600000000009</v>
      </c>
    </row>
    <row r="12" spans="1:3" ht="15.75" customHeight="1" x14ac:dyDescent="0.3">
      <c r="B12" s="2" t="s">
        <v>21</v>
      </c>
      <c r="C12" s="4">
        <v>-150</v>
      </c>
    </row>
    <row r="13" spans="1:3" ht="15.75" customHeight="1" x14ac:dyDescent="0.3">
      <c r="B13" s="5"/>
      <c r="C13" s="10"/>
    </row>
    <row r="14" spans="1:3" ht="15.75" customHeight="1" x14ac:dyDescent="0.3">
      <c r="B14" s="5" t="s">
        <v>22</v>
      </c>
      <c r="C14" s="14">
        <f>C10+C12+C11</f>
        <v>228.40940000000001</v>
      </c>
    </row>
    <row r="16" spans="1:3" ht="15.75" customHeight="1" x14ac:dyDescent="0.3">
      <c r="A16" s="15">
        <v>0.1</v>
      </c>
      <c r="B16" s="5" t="s">
        <v>23</v>
      </c>
      <c r="C16" s="16">
        <f>A16*-C14</f>
        <v>-22.840940000000003</v>
      </c>
    </row>
    <row r="17" spans="1:3" ht="15.75" customHeight="1" x14ac:dyDescent="0.3">
      <c r="B17" s="2" t="s">
        <v>24</v>
      </c>
      <c r="C17" s="18">
        <f>A18*-C14</f>
        <v>-79.642751315789468</v>
      </c>
    </row>
    <row r="18" spans="1:3" ht="15.75" customHeight="1" x14ac:dyDescent="0.3">
      <c r="A18" s="22">
        <f>106/304</f>
        <v>0.34868421052631576</v>
      </c>
      <c r="B18" s="5" t="s">
        <v>37</v>
      </c>
      <c r="C18" s="14">
        <f>C14+C16+C17</f>
        <v>125.92570868421055</v>
      </c>
    </row>
    <row r="20" spans="1:3" ht="15.75" customHeight="1" x14ac:dyDescent="0.25">
      <c r="B20" s="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1"/>
  <sheetViews>
    <sheetView topLeftCell="A7" workbookViewId="0">
      <selection activeCell="E16" sqref="E16:E17"/>
    </sheetView>
  </sheetViews>
  <sheetFormatPr defaultColWidth="14.453125" defaultRowHeight="15.75" customHeight="1" x14ac:dyDescent="0.25"/>
  <cols>
    <col min="2" max="2" width="23.08984375" customWidth="1"/>
    <col min="3" max="3" width="11.7265625" customWidth="1"/>
    <col min="5" max="5" width="10.81640625" customWidth="1"/>
  </cols>
  <sheetData>
    <row r="3" spans="2:6" ht="15.75" customHeight="1" x14ac:dyDescent="0.25">
      <c r="B3" s="3" t="s">
        <v>44</v>
      </c>
      <c r="C3" s="23">
        <f>'Ops Statement Unlevered'!C32</f>
        <v>357920</v>
      </c>
    </row>
    <row r="4" spans="2:6" ht="15.75" customHeight="1" x14ac:dyDescent="0.25">
      <c r="C4" s="24"/>
    </row>
    <row r="5" spans="2:6" ht="15.75" customHeight="1" x14ac:dyDescent="0.25">
      <c r="B5" s="3" t="s">
        <v>45</v>
      </c>
      <c r="C5" s="23">
        <v>100000</v>
      </c>
    </row>
    <row r="6" spans="2:6" ht="15.75" customHeight="1" x14ac:dyDescent="0.25">
      <c r="B6" s="3" t="s">
        <v>46</v>
      </c>
      <c r="C6" s="23">
        <v>100000</v>
      </c>
    </row>
    <row r="7" spans="2:6" ht="15.75" customHeight="1" x14ac:dyDescent="0.25">
      <c r="B7" s="3" t="s">
        <v>50</v>
      </c>
      <c r="C7" s="23"/>
    </row>
    <row r="8" spans="2:6" ht="15.75" customHeight="1" x14ac:dyDescent="0.25">
      <c r="B8" s="29" t="s">
        <v>47</v>
      </c>
      <c r="C8" s="23">
        <f>148000*85%</f>
        <v>125800</v>
      </c>
    </row>
    <row r="9" spans="2:6" ht="15.75" customHeight="1" x14ac:dyDescent="0.25">
      <c r="B9" s="29" t="s">
        <v>48</v>
      </c>
      <c r="C9" s="24">
        <f>60000*0.6</f>
        <v>36000</v>
      </c>
    </row>
    <row r="10" spans="2:6" ht="15.75" customHeight="1" x14ac:dyDescent="0.25">
      <c r="B10" s="29" t="s">
        <v>52</v>
      </c>
      <c r="C10" s="24">
        <f>92000*0.25*0.33</f>
        <v>7590</v>
      </c>
    </row>
    <row r="11" spans="2:6" ht="15.75" customHeight="1" x14ac:dyDescent="0.25">
      <c r="B11" s="30" t="s">
        <v>53</v>
      </c>
      <c r="C11" s="25">
        <f>92000*0.75*90%</f>
        <v>62100</v>
      </c>
    </row>
    <row r="12" spans="2:6" ht="15.75" customHeight="1" x14ac:dyDescent="0.25">
      <c r="B12" s="3" t="s">
        <v>49</v>
      </c>
      <c r="C12" s="24">
        <f>SUM(C5:C10)</f>
        <v>369390</v>
      </c>
    </row>
    <row r="15" spans="2:6" ht="15.75" customHeight="1" x14ac:dyDescent="0.3">
      <c r="B15" s="32" t="s">
        <v>60</v>
      </c>
      <c r="C15" s="33" t="s">
        <v>54</v>
      </c>
      <c r="D15" s="33" t="s">
        <v>51</v>
      </c>
      <c r="E15" s="32" t="s">
        <v>59</v>
      </c>
      <c r="F15" s="32"/>
    </row>
    <row r="16" spans="2:6" ht="15.75" customHeight="1" x14ac:dyDescent="0.25">
      <c r="B16" s="3" t="s">
        <v>55</v>
      </c>
      <c r="C16" s="23">
        <f>SUM(C8:C11)</f>
        <v>231490</v>
      </c>
      <c r="D16" s="26">
        <v>0.19</v>
      </c>
      <c r="E16" s="23">
        <f t="shared" ref="E16:E17" si="0">C16*D16</f>
        <v>43983.1</v>
      </c>
    </row>
    <row r="17" spans="2:5" ht="15.75" customHeight="1" x14ac:dyDescent="0.25">
      <c r="B17" s="7" t="s">
        <v>56</v>
      </c>
      <c r="C17" s="27">
        <f>C3-C16</f>
        <v>126430</v>
      </c>
      <c r="D17" s="28">
        <v>0.25</v>
      </c>
      <c r="E17" s="27">
        <f t="shared" si="0"/>
        <v>31607.5</v>
      </c>
    </row>
    <row r="18" spans="2:5" ht="15.75" customHeight="1" x14ac:dyDescent="0.3">
      <c r="B18" s="34" t="s">
        <v>61</v>
      </c>
      <c r="C18" s="34"/>
      <c r="D18" s="32"/>
      <c r="E18" s="35">
        <f>SUM(E16:E17)</f>
        <v>75590.600000000006</v>
      </c>
    </row>
    <row r="20" spans="2:5" ht="15.75" customHeight="1" x14ac:dyDescent="0.25">
      <c r="B20" s="3" t="s">
        <v>58</v>
      </c>
    </row>
    <row r="21" spans="2:5" ht="15.75" customHeight="1" x14ac:dyDescent="0.25">
      <c r="B21" s="3" t="s">
        <v>57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workbookViewId="0">
      <selection activeCell="G13" sqref="G2:J13"/>
    </sheetView>
  </sheetViews>
  <sheetFormatPr defaultColWidth="14.453125" defaultRowHeight="15.75" customHeight="1" x14ac:dyDescent="0.25"/>
  <cols>
    <col min="2" max="2" width="24.81640625" customWidth="1"/>
    <col min="6" max="6" width="16.81640625" customWidth="1"/>
  </cols>
  <sheetData>
    <row r="2" spans="2:7" ht="15.75" customHeight="1" x14ac:dyDescent="0.3">
      <c r="C2" s="1">
        <v>1981</v>
      </c>
      <c r="D2" s="1">
        <v>1980</v>
      </c>
      <c r="E2" s="1" t="s">
        <v>2</v>
      </c>
      <c r="F2" s="1" t="s">
        <v>3</v>
      </c>
    </row>
    <row r="3" spans="2:7" ht="15.75" customHeight="1" x14ac:dyDescent="0.3">
      <c r="B3" s="2" t="s">
        <v>1</v>
      </c>
      <c r="C3" s="4">
        <v>942</v>
      </c>
      <c r="D3" s="4">
        <v>1050</v>
      </c>
      <c r="E3" s="8">
        <f t="shared" ref="E3:E6" si="0">C3-D3</f>
        <v>-108</v>
      </c>
      <c r="F3" s="11">
        <f t="shared" ref="F3:F4" si="1">E3/D3</f>
        <v>-0.10285714285714286</v>
      </c>
    </row>
    <row r="4" spans="2:7" ht="15.75" customHeight="1" x14ac:dyDescent="0.3">
      <c r="B4" s="5" t="s">
        <v>8</v>
      </c>
      <c r="C4" s="6">
        <v>551</v>
      </c>
      <c r="D4" s="6">
        <v>640</v>
      </c>
      <c r="E4" s="10">
        <f t="shared" si="0"/>
        <v>-89</v>
      </c>
      <c r="F4" s="13">
        <f t="shared" si="1"/>
        <v>-0.13906250000000001</v>
      </c>
      <c r="G4" s="3" t="s">
        <v>18</v>
      </c>
    </row>
    <row r="5" spans="2:7" ht="15.75" customHeight="1" x14ac:dyDescent="0.3">
      <c r="B5" s="2" t="s">
        <v>9</v>
      </c>
      <c r="C5" s="4">
        <v>-97</v>
      </c>
      <c r="D5" s="4">
        <v>-92</v>
      </c>
      <c r="E5" s="8">
        <f t="shared" si="0"/>
        <v>-5</v>
      </c>
      <c r="F5" s="11">
        <f>-E5/D5</f>
        <v>-5.434782608695652E-2</v>
      </c>
      <c r="G5" s="3" t="s">
        <v>20</v>
      </c>
    </row>
    <row r="6" spans="2:7" ht="15.75" customHeight="1" x14ac:dyDescent="0.3">
      <c r="B6" s="5" t="s">
        <v>10</v>
      </c>
      <c r="C6" s="10">
        <f t="shared" ref="C6:D6" si="2">C4+C5</f>
        <v>454</v>
      </c>
      <c r="D6" s="10">
        <f t="shared" si="2"/>
        <v>548</v>
      </c>
      <c r="E6" s="10">
        <f t="shared" si="0"/>
        <v>-94</v>
      </c>
      <c r="F6" s="13">
        <f>E6/D6</f>
        <v>-0.17153284671532848</v>
      </c>
    </row>
    <row r="7" spans="2:7" ht="15.75" customHeight="1" x14ac:dyDescent="0.3">
      <c r="B7" s="12"/>
      <c r="C7" s="10"/>
      <c r="D7" s="10"/>
      <c r="E7" s="10"/>
      <c r="F7" s="13"/>
    </row>
    <row r="8" spans="2:7" ht="15.75" customHeight="1" x14ac:dyDescent="0.3">
      <c r="B8" s="2" t="s">
        <v>16</v>
      </c>
      <c r="C8" s="4">
        <v>93</v>
      </c>
      <c r="D8" s="4">
        <v>92</v>
      </c>
      <c r="E8" s="8">
        <f t="shared" ref="E8:E9" si="3">C8-D8</f>
        <v>1</v>
      </c>
      <c r="F8" s="11">
        <f t="shared" ref="F8:F9" si="4">E8/D8</f>
        <v>1.0869565217391304E-2</v>
      </c>
    </row>
    <row r="9" spans="2:7" ht="15.75" customHeight="1" x14ac:dyDescent="0.3">
      <c r="B9" s="5" t="s">
        <v>17</v>
      </c>
      <c r="C9" s="10">
        <f t="shared" ref="C9:D9" si="5">C6+C8</f>
        <v>547</v>
      </c>
      <c r="D9" s="10">
        <f t="shared" si="5"/>
        <v>640</v>
      </c>
      <c r="E9" s="10">
        <f t="shared" si="3"/>
        <v>-93</v>
      </c>
      <c r="F9" s="13">
        <f t="shared" si="4"/>
        <v>-0.14531250000000001</v>
      </c>
      <c r="G9" s="3" t="s">
        <v>32</v>
      </c>
    </row>
    <row r="10" spans="2:7" ht="15.75" customHeight="1" x14ac:dyDescent="0.3">
      <c r="B10" s="12"/>
      <c r="C10" s="10"/>
      <c r="D10" s="10"/>
      <c r="E10" s="10"/>
      <c r="F10" s="13"/>
    </row>
    <row r="11" spans="2:7" ht="15.75" customHeight="1" x14ac:dyDescent="0.3">
      <c r="B11" s="5" t="s">
        <v>33</v>
      </c>
      <c r="C11" s="6">
        <v>-480</v>
      </c>
      <c r="D11" s="6">
        <v>-505</v>
      </c>
      <c r="E11" s="10">
        <f t="shared" ref="E11:E13" si="6">C11-D11</f>
        <v>25</v>
      </c>
      <c r="F11" s="13">
        <f>-E11/D11</f>
        <v>4.9504950495049507E-2</v>
      </c>
      <c r="G11" s="3" t="s">
        <v>34</v>
      </c>
    </row>
    <row r="12" spans="2:7" ht="15.75" customHeight="1" x14ac:dyDescent="0.3">
      <c r="B12" s="2" t="s">
        <v>35</v>
      </c>
      <c r="C12" s="4">
        <v>-20</v>
      </c>
      <c r="D12" s="4">
        <v>-23</v>
      </c>
      <c r="E12" s="8">
        <f t="shared" si="6"/>
        <v>3</v>
      </c>
      <c r="F12" s="11">
        <f t="shared" ref="F12:F13" si="7">E12/D12</f>
        <v>-0.13043478260869565</v>
      </c>
      <c r="G12" s="3" t="s">
        <v>36</v>
      </c>
    </row>
    <row r="13" spans="2:7" ht="15.75" customHeight="1" x14ac:dyDescent="0.3">
      <c r="B13" s="5" t="s">
        <v>37</v>
      </c>
      <c r="C13" s="10">
        <f t="shared" ref="C13:D13" si="8">C9+C11+C12</f>
        <v>47</v>
      </c>
      <c r="D13" s="10">
        <f t="shared" si="8"/>
        <v>112</v>
      </c>
      <c r="E13" s="10">
        <f t="shared" si="6"/>
        <v>-65</v>
      </c>
      <c r="F13" s="13">
        <f t="shared" si="7"/>
        <v>-0.5803571428571429</v>
      </c>
      <c r="G13" s="3" t="s">
        <v>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workbookViewId="0">
      <selection activeCell="F17" sqref="F17"/>
    </sheetView>
  </sheetViews>
  <sheetFormatPr defaultColWidth="14.453125" defaultRowHeight="15.75" customHeight="1" x14ac:dyDescent="0.25"/>
  <cols>
    <col min="2" max="2" width="40.81640625" customWidth="1"/>
    <col min="3" max="3" width="7.453125" customWidth="1"/>
  </cols>
  <sheetData>
    <row r="2" spans="2:3" ht="15.75" customHeight="1" x14ac:dyDescent="0.25">
      <c r="B2" s="3" t="s">
        <v>4</v>
      </c>
      <c r="C2" s="3">
        <v>148</v>
      </c>
    </row>
    <row r="3" spans="2:3" ht="15.75" customHeight="1" x14ac:dyDescent="0.25">
      <c r="B3" s="3" t="s">
        <v>5</v>
      </c>
      <c r="C3" s="3">
        <v>60</v>
      </c>
    </row>
    <row r="4" spans="2:3" ht="15.75" customHeight="1" x14ac:dyDescent="0.25">
      <c r="B4" s="3" t="s">
        <v>6</v>
      </c>
      <c r="C4" s="3">
        <v>6</v>
      </c>
    </row>
    <row r="5" spans="2:3" ht="15.75" customHeight="1" x14ac:dyDescent="0.25">
      <c r="B5" s="7" t="s">
        <v>7</v>
      </c>
      <c r="C5" s="7">
        <v>92</v>
      </c>
    </row>
    <row r="6" spans="2:3" ht="15.75" customHeight="1" x14ac:dyDescent="0.25">
      <c r="B6" s="3" t="s">
        <v>11</v>
      </c>
      <c r="C6">
        <f>SUM(C2:C5)</f>
        <v>306</v>
      </c>
    </row>
    <row r="9" spans="2:3" ht="15.75" customHeight="1" x14ac:dyDescent="0.25">
      <c r="B9" s="3" t="s">
        <v>12</v>
      </c>
      <c r="C9" s="3">
        <v>45</v>
      </c>
    </row>
    <row r="10" spans="2:3" ht="15.75" customHeight="1" x14ac:dyDescent="0.25">
      <c r="B10" s="7" t="s">
        <v>13</v>
      </c>
      <c r="C10" s="9">
        <f>C6-C9</f>
        <v>261</v>
      </c>
    </row>
    <row r="11" spans="2:3" ht="15.75" customHeight="1" x14ac:dyDescent="0.25">
      <c r="B11" s="3" t="s">
        <v>14</v>
      </c>
      <c r="C11">
        <f>SUM(C9:C10)</f>
        <v>306</v>
      </c>
    </row>
    <row r="13" spans="2:3" ht="15.75" customHeight="1" x14ac:dyDescent="0.25">
      <c r="B13" s="3" t="s"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workbookViewId="0">
      <selection activeCell="D18" sqref="D18"/>
    </sheetView>
  </sheetViews>
  <sheetFormatPr defaultColWidth="14.453125" defaultRowHeight="15.75" customHeight="1" x14ac:dyDescent="0.25"/>
  <sheetData>
    <row r="2" spans="1:7" ht="15.75" customHeight="1" x14ac:dyDescent="0.25">
      <c r="A2" s="3"/>
    </row>
    <row r="3" spans="1:7" ht="15.75" customHeight="1" x14ac:dyDescent="0.25">
      <c r="A3" s="3"/>
    </row>
    <row r="6" spans="1:7" ht="15.75" customHeight="1" x14ac:dyDescent="0.3">
      <c r="B6" s="1" t="s">
        <v>25</v>
      </c>
      <c r="C6" s="1" t="s">
        <v>26</v>
      </c>
      <c r="D6" s="1" t="s">
        <v>27</v>
      </c>
      <c r="E6" s="1" t="s">
        <v>28</v>
      </c>
      <c r="F6" s="1" t="s">
        <v>29</v>
      </c>
      <c r="G6" s="1" t="s">
        <v>30</v>
      </c>
    </row>
    <row r="7" spans="1:7" ht="15.75" customHeight="1" x14ac:dyDescent="0.3">
      <c r="A7" s="5" t="s">
        <v>31</v>
      </c>
      <c r="B7" s="17">
        <v>63800000</v>
      </c>
      <c r="C7" s="19">
        <v>0.38</v>
      </c>
      <c r="D7" s="19">
        <v>6.75</v>
      </c>
      <c r="E7" s="19">
        <v>2</v>
      </c>
      <c r="F7" s="20">
        <f t="shared" ref="F7:F10" si="0">E7/C7</f>
        <v>5.2631578947368425</v>
      </c>
      <c r="G7" s="21">
        <f t="shared" ref="G7:G10" si="1">C7/D7</f>
        <v>5.6296296296296296E-2</v>
      </c>
    </row>
    <row r="8" spans="1:7" ht="15.75" customHeight="1" x14ac:dyDescent="0.3">
      <c r="A8" s="5" t="s">
        <v>39</v>
      </c>
      <c r="B8" s="17">
        <v>13500000</v>
      </c>
      <c r="C8" s="19">
        <v>1.48</v>
      </c>
      <c r="D8" s="19">
        <v>5.16</v>
      </c>
      <c r="E8" s="19">
        <v>5.25</v>
      </c>
      <c r="F8" s="20">
        <f t="shared" si="0"/>
        <v>3.5472972972972974</v>
      </c>
      <c r="G8" s="21">
        <f t="shared" si="1"/>
        <v>0.2868217054263566</v>
      </c>
    </row>
    <row r="9" spans="1:7" ht="15.75" customHeight="1" x14ac:dyDescent="0.3">
      <c r="A9" s="5" t="s">
        <v>40</v>
      </c>
      <c r="B9" s="17">
        <v>43800000</v>
      </c>
      <c r="C9" s="19">
        <v>1.28</v>
      </c>
      <c r="D9" s="19">
        <v>9.64</v>
      </c>
      <c r="E9" s="19">
        <v>8.25</v>
      </c>
      <c r="F9" s="20">
        <f t="shared" si="0"/>
        <v>6.4453125</v>
      </c>
      <c r="G9" s="21">
        <f t="shared" si="1"/>
        <v>0.13278008298755187</v>
      </c>
    </row>
    <row r="10" spans="1:7" ht="15.75" customHeight="1" x14ac:dyDescent="0.3">
      <c r="A10" s="5" t="s">
        <v>41</v>
      </c>
      <c r="B10" s="17">
        <v>8300000</v>
      </c>
      <c r="C10" s="19">
        <v>0.56999999999999995</v>
      </c>
      <c r="D10" s="19">
        <v>2.73</v>
      </c>
      <c r="E10" s="19">
        <v>3.63</v>
      </c>
      <c r="F10" s="20">
        <f t="shared" si="0"/>
        <v>6.3684210526315796</v>
      </c>
      <c r="G10" s="21">
        <f t="shared" si="1"/>
        <v>0.20879120879120877</v>
      </c>
    </row>
    <row r="12" spans="1:7" ht="15.75" customHeight="1" x14ac:dyDescent="0.3">
      <c r="A12" s="5" t="s">
        <v>43</v>
      </c>
      <c r="B12" s="17">
        <v>942000</v>
      </c>
      <c r="C12" s="17"/>
      <c r="D12" s="17">
        <f>292000</f>
        <v>292000</v>
      </c>
      <c r="F12" s="20">
        <v>4.5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Ops Statement Unlevered</vt:lpstr>
      <vt:lpstr>Ops Statement Levered</vt:lpstr>
      <vt:lpstr>Financing</vt:lpstr>
      <vt:lpstr>Variance</vt:lpstr>
      <vt:lpstr>Balance Sheet</vt:lpstr>
      <vt:lpstr>Comps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KIMMMER</dc:creator>
  <cp:lastModifiedBy>KIMMMER</cp:lastModifiedBy>
  <dcterms:created xsi:type="dcterms:W3CDTF">2016-11-12T21:14:45Z</dcterms:created>
  <dcterms:modified xsi:type="dcterms:W3CDTF">2016-11-12T21:14:45Z</dcterms:modified>
</cp:coreProperties>
</file>